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kcie\2022\1522_Most_Lehota\Podrobný výkaz výmer\"/>
    </mc:Choice>
  </mc:AlternateContent>
  <bookViews>
    <workbookView xWindow="-120" yWindow="-120" windowWidth="29040" windowHeight="15840"/>
  </bookViews>
  <sheets>
    <sheet name="201-00" sheetId="1" r:id="rId1"/>
  </sheets>
  <definedNames>
    <definedName name="_xlnm.Print_Titles" localSheetId="0">'201-00'!$6:$7</definedName>
    <definedName name="_xlnm.Print_Area" localSheetId="0">'201-00'!$A$1:$H$233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6" i="1" l="1"/>
  <c r="F194" i="1"/>
  <c r="F190" i="1"/>
  <c r="F189" i="1"/>
  <c r="F184" i="1"/>
  <c r="F183" i="1"/>
  <c r="F182" i="1"/>
  <c r="F181" i="1"/>
  <c r="F188" i="1"/>
  <c r="F147" i="1" l="1"/>
  <c r="F149" i="1" s="1"/>
  <c r="F50" i="1" l="1"/>
  <c r="F118" i="1" l="1"/>
  <c r="H111" i="1" s="1"/>
  <c r="H110" i="1" s="1"/>
  <c r="F121" i="1" l="1"/>
  <c r="F232" i="1"/>
  <c r="F216" i="1"/>
  <c r="F212" i="1"/>
  <c r="F209" i="1"/>
  <c r="F131" i="1"/>
  <c r="H120" i="1" l="1"/>
  <c r="H119" i="1" s="1"/>
  <c r="F125" i="1"/>
  <c r="H124" i="1" s="1"/>
  <c r="H123" i="1" s="1"/>
  <c r="F222" i="1"/>
  <c r="F219" i="1"/>
  <c r="F73" i="1" l="1"/>
  <c r="H128" i="1" l="1"/>
  <c r="H130" i="1"/>
  <c r="H221" i="1"/>
  <c r="H220" i="1" s="1"/>
  <c r="H218" i="1"/>
  <c r="H217" i="1" s="1"/>
  <c r="H127" i="1" l="1"/>
  <c r="H202" i="1"/>
  <c r="H201" i="1" s="1"/>
  <c r="H214" i="1"/>
  <c r="H213" i="1" s="1"/>
  <c r="H231" i="1"/>
  <c r="H230" i="1" s="1"/>
  <c r="H210" i="1"/>
  <c r="H207" i="1"/>
  <c r="H199" i="1"/>
  <c r="H198" i="1" s="1"/>
  <c r="H177" i="1"/>
  <c r="H176" i="1" s="1"/>
  <c r="H174" i="1"/>
  <c r="H173" i="1" s="1"/>
  <c r="F197" i="1"/>
  <c r="H193" i="1" s="1"/>
  <c r="F191" i="1"/>
  <c r="H187" i="1" s="1"/>
  <c r="F185" i="1"/>
  <c r="H180" i="1" s="1"/>
  <c r="F87" i="1"/>
  <c r="H86" i="1" s="1"/>
  <c r="H85" i="1" s="1"/>
  <c r="H72" i="1"/>
  <c r="H71" i="1" s="1"/>
  <c r="F84" i="1"/>
  <c r="H81" i="1" s="1"/>
  <c r="F55" i="1"/>
  <c r="F52" i="1"/>
  <c r="F51" i="1"/>
  <c r="F49" i="1"/>
  <c r="F108" i="1"/>
  <c r="F62" i="1"/>
  <c r="F67" i="1" s="1"/>
  <c r="F29" i="1"/>
  <c r="H28" i="1" s="1"/>
  <c r="H27" i="1" s="1"/>
  <c r="F229" i="1" l="1"/>
  <c r="H228" i="1" s="1"/>
  <c r="F225" i="1"/>
  <c r="H224" i="1" s="1"/>
  <c r="F227" i="1"/>
  <c r="H226" i="1" s="1"/>
  <c r="H206" i="1"/>
  <c r="F53" i="1"/>
  <c r="H223" i="1" l="1"/>
  <c r="F170" i="1"/>
  <c r="F169" i="1"/>
  <c r="F152" i="1"/>
  <c r="H151" i="1" s="1"/>
  <c r="H150" i="1" s="1"/>
  <c r="F171" i="1" l="1"/>
  <c r="H145" i="1" l="1"/>
  <c r="F143" i="1"/>
  <c r="H142" i="1" s="1"/>
  <c r="H141" i="1" s="1"/>
  <c r="F165" i="1"/>
  <c r="H164" i="1" s="1"/>
  <c r="F162" i="1"/>
  <c r="H161" i="1" s="1"/>
  <c r="H160" i="1" s="1"/>
  <c r="F159" i="1"/>
  <c r="H158" i="1" s="1"/>
  <c r="H157" i="1" s="1"/>
  <c r="F156" i="1"/>
  <c r="H155" i="1" s="1"/>
  <c r="H154" i="1" s="1"/>
  <c r="F139" i="1"/>
  <c r="H133" i="1"/>
  <c r="F102" i="1" l="1"/>
  <c r="H101" i="1" s="1"/>
  <c r="F106" i="1"/>
  <c r="F104" i="1"/>
  <c r="F90" i="1"/>
  <c r="F92" i="1" s="1"/>
  <c r="F78" i="1"/>
  <c r="H75" i="1" s="1"/>
  <c r="H74" i="1" s="1"/>
  <c r="H41" i="1"/>
  <c r="H40" i="1" s="1"/>
  <c r="F63" i="1"/>
  <c r="F68" i="1" s="1"/>
  <c r="F61" i="1"/>
  <c r="F66" i="1" s="1"/>
  <c r="F26" i="1"/>
  <c r="H22" i="1" s="1"/>
  <c r="H21" i="1" s="1"/>
  <c r="H89" i="1" l="1"/>
  <c r="H88" i="1" s="1"/>
  <c r="F95" i="1"/>
  <c r="F69" i="1"/>
  <c r="H94" i="1"/>
  <c r="F64" i="1"/>
  <c r="F45" i="1"/>
  <c r="H44" i="1" s="1"/>
  <c r="F39" i="1"/>
  <c r="H34" i="1" s="1"/>
  <c r="H33" i="1" s="1"/>
  <c r="F32" i="1"/>
  <c r="H31" i="1" s="1"/>
  <c r="F20" i="1"/>
  <c r="H19" i="1" s="1"/>
  <c r="F70" i="1" l="1"/>
  <c r="H59" i="1" s="1"/>
  <c r="H144" i="1"/>
  <c r="H105" i="1" l="1"/>
  <c r="H103" i="1"/>
  <c r="H107" i="1"/>
  <c r="H99" i="1"/>
  <c r="H98" i="1" s="1"/>
  <c r="H96" i="1"/>
  <c r="H93" i="1"/>
  <c r="H100" i="1" l="1"/>
  <c r="F56" i="1"/>
  <c r="F57" i="1" s="1"/>
  <c r="H11" i="1"/>
  <c r="H47" i="1" l="1"/>
  <c r="H137" i="1" l="1"/>
  <c r="H136" i="1" s="1"/>
  <c r="H167" i="1" l="1"/>
  <c r="H166" i="1" s="1"/>
  <c r="H80" i="1" l="1"/>
  <c r="H14" i="1" l="1"/>
  <c r="H132" i="1" l="1"/>
  <c r="H186" i="1" l="1"/>
  <c r="H179" i="1"/>
  <c r="H192" i="1"/>
  <c r="H13" i="1"/>
  <c r="H163" i="1" l="1"/>
  <c r="H30" i="1" l="1"/>
  <c r="H18" i="1"/>
  <c r="H43" i="1" l="1"/>
  <c r="H58" i="1"/>
  <c r="H10" i="1" l="1"/>
  <c r="H12" i="1"/>
  <c r="A10" i="1" l="1"/>
  <c r="A12" i="1" l="1"/>
  <c r="A14" i="1" l="1"/>
  <c r="A18" i="1" l="1"/>
  <c r="A21" i="1" l="1"/>
  <c r="H46" i="1"/>
  <c r="A27" i="1" l="1"/>
  <c r="A30" i="1" l="1"/>
  <c r="A33" i="1" l="1"/>
  <c r="A40" i="1" s="1"/>
  <c r="A43" i="1" s="1"/>
  <c r="A46" i="1" s="1"/>
  <c r="A58" i="1" l="1"/>
  <c r="A71" i="1" s="1"/>
  <c r="A74" i="1" s="1"/>
  <c r="A80" i="1" s="1"/>
  <c r="A85" i="1" l="1"/>
  <c r="A88" i="1" s="1"/>
  <c r="A93" i="1" l="1"/>
  <c r="A96" i="1" s="1"/>
  <c r="A98" i="1" s="1"/>
  <c r="A100" i="1" l="1"/>
  <c r="A110" i="1" s="1"/>
  <c r="A119" i="1" s="1"/>
  <c r="A123" i="1" s="1"/>
  <c r="A127" i="1" l="1"/>
  <c r="A132" i="1" s="1"/>
  <c r="A136" i="1" l="1"/>
  <c r="A141" i="1" s="1"/>
  <c r="A144" i="1" l="1"/>
  <c r="A150" i="1" l="1"/>
  <c r="A154" i="1" s="1"/>
  <c r="A157" i="1" s="1"/>
  <c r="A160" i="1" s="1"/>
  <c r="A163" i="1" l="1"/>
  <c r="A166" i="1" s="1"/>
  <c r="A173" i="1" s="1"/>
  <c r="A176" i="1" s="1"/>
  <c r="A179" i="1" s="1"/>
  <c r="A186" i="1" l="1"/>
  <c r="A192" i="1" l="1"/>
  <c r="A198" i="1" s="1"/>
  <c r="A201" i="1" l="1"/>
  <c r="A206" i="1" s="1"/>
  <c r="A213" i="1" s="1"/>
  <c r="A217" i="1" l="1"/>
  <c r="A220" i="1" s="1"/>
  <c r="A223" i="1" s="1"/>
  <c r="A230" i="1" l="1"/>
</calcChain>
</file>

<file path=xl/sharedStrings.xml><?xml version="1.0" encoding="utf-8"?>
<sst xmlns="http://schemas.openxmlformats.org/spreadsheetml/2006/main" count="488" uniqueCount="300">
  <si>
    <t>Stavba:</t>
  </si>
  <si>
    <t>Objekt:</t>
  </si>
  <si>
    <t>C.P.</t>
  </si>
  <si>
    <t>POLOŽKA</t>
  </si>
  <si>
    <t>VÝKAZ VÝMER</t>
  </si>
  <si>
    <t>M. J.</t>
  </si>
  <si>
    <t>MNOŽSTVO</t>
  </si>
  <si>
    <t>KÓD KP</t>
  </si>
  <si>
    <t>KÓD PP</t>
  </si>
  <si>
    <t>45.11.11</t>
  </si>
  <si>
    <t>m3</t>
  </si>
  <si>
    <t>ks</t>
  </si>
  <si>
    <t>m2</t>
  </si>
  <si>
    <t>m</t>
  </si>
  <si>
    <t>05080200</t>
  </si>
  <si>
    <t>Doprava vybúraných hmôt vodorovná</t>
  </si>
  <si>
    <t>t</t>
  </si>
  <si>
    <t>0508020003</t>
  </si>
  <si>
    <t>Doprava vybúraných hmôt vodorovná, nad 1 km</t>
  </si>
  <si>
    <t>01060204</t>
  </si>
  <si>
    <t>45.11.24</t>
  </si>
  <si>
    <t>45.00.00</t>
  </si>
  <si>
    <t>00010401</t>
  </si>
  <si>
    <t>Zmluvné požiadavky poplatky za skládky vybúraných hmôt a sutí</t>
  </si>
  <si>
    <t>00010404</t>
  </si>
  <si>
    <t>Zmluvné požiadavky poplatky za skládky travín, krovia, mačiny,lesnej hrabanky</t>
  </si>
  <si>
    <t>201-00</t>
  </si>
  <si>
    <t>05010305</t>
  </si>
  <si>
    <t>Búranie konštrukcií stropov, klenieb, schodov železobetónových</t>
  </si>
  <si>
    <t>05020131</t>
  </si>
  <si>
    <t>Vybúranie, odstránenie konštrukcií - izolácie povlakovej</t>
  </si>
  <si>
    <t>05020907</t>
  </si>
  <si>
    <t>05040104</t>
  </si>
  <si>
    <t>Odstránenie konštrukcií vodných korýt a vo vodných tokoch, dlažieb včítane podkladov z betónu</t>
  </si>
  <si>
    <t>05090205</t>
  </si>
  <si>
    <t>Doplňujúce práce, úprava stavebných konštrukcií vysokotlakým vodným lúčom železobetónových</t>
  </si>
  <si>
    <t>0509020501</t>
  </si>
  <si>
    <t>Doplňujúce práce, úprava stavebných konštrukcií vysokotlakým vodným lúčom železobetónových, čistenie</t>
  </si>
  <si>
    <t>21251161</t>
  </si>
  <si>
    <t>Doplňujúce konštrukcie, špeciálne pomocné, ošetrenie betonárskej výstuže</t>
  </si>
  <si>
    <t>45.11.12</t>
  </si>
  <si>
    <t>01010104</t>
  </si>
  <si>
    <t>Pripravné práce, odstránenie porastov mačiny</t>
  </si>
  <si>
    <t>0101010401</t>
  </si>
  <si>
    <t>Pripravné práce, odstránenie porastov mačiny hr. do 100 mm</t>
  </si>
  <si>
    <t>0106020408</t>
  </si>
  <si>
    <t>11200101</t>
  </si>
  <si>
    <t>Podkladné konštrukcie, podkladné vrstvy, z betónu prostého</t>
  </si>
  <si>
    <t>11200111</t>
  </si>
  <si>
    <t>Podkladné konštrukcie, podkladné vrstvy, debnenie tradičné</t>
  </si>
  <si>
    <t>1120011101</t>
  </si>
  <si>
    <t>Podkladné konštrukcie, podkladné vrstvy, debnenie tradičné drevené</t>
  </si>
  <si>
    <t>13071613</t>
  </si>
  <si>
    <t>Vonkajšie povrchy podhľadov, reprofilácia vodor. plôch maltou sanačnou</t>
  </si>
  <si>
    <t>13071513</t>
  </si>
  <si>
    <t>Vonkajšie povrchy podhľadov, reprofilácia podhľadov maltou sanačnou</t>
  </si>
  <si>
    <t>84010815</t>
  </si>
  <si>
    <t>Náter omietok a betónových povrchov, farba riediteľná vodou (akrylátová)</t>
  </si>
  <si>
    <t>8401081501</t>
  </si>
  <si>
    <t>Náter omietok a betónových povrchov, farba riediteľná vodou (akrylátová), stropov</t>
  </si>
  <si>
    <t>8401081502</t>
  </si>
  <si>
    <t>Náter omietok a betónových povrchov, farba riediteľná vodou (akrylátová), stien</t>
  </si>
  <si>
    <t>sub.</t>
  </si>
  <si>
    <t>00030705</t>
  </si>
  <si>
    <t>Staveniskové náklady zhotoviteľa pomocné práce zhotovovacie alebo zaisťovacie lešenia</t>
  </si>
  <si>
    <t>01010001</t>
  </si>
  <si>
    <t>Pripravné práce, všeobecné vypratanie zastavaných území</t>
  </si>
  <si>
    <t>na skládku odpadu spolu</t>
  </si>
  <si>
    <t>odvoz do zberných surovín</t>
  </si>
  <si>
    <t>Odvoz sute a vybúraných hmôt spolu</t>
  </si>
  <si>
    <t>45.22.11</t>
  </si>
  <si>
    <t>45.23.32</t>
  </si>
  <si>
    <t>45.24.70</t>
  </si>
  <si>
    <t>45.44.20</t>
  </si>
  <si>
    <t>45.11.25</t>
  </si>
  <si>
    <t>Stavebné práce na mostoch</t>
  </si>
  <si>
    <t>31210308</t>
  </si>
  <si>
    <t>Spevnené plochy, dlažby z betónových dielcov, tvárnic</t>
  </si>
  <si>
    <t>3121030801</t>
  </si>
  <si>
    <t>Spevnené plochy, dlažby z betónových dielcov, tvárnic hmotnosť do 60 kg</t>
  </si>
  <si>
    <t>Premiestnenie  vodorovné nad 3 000 m</t>
  </si>
  <si>
    <t>svahové kužele</t>
  </si>
  <si>
    <t>45.22.38</t>
  </si>
  <si>
    <t>Kompletovanie a montáž prefabrikovaných konštrukcií</t>
  </si>
  <si>
    <t>15090101</t>
  </si>
  <si>
    <t>Schodiskové konštrukcie plošné, z dielcov betónových</t>
  </si>
  <si>
    <t>22250184</t>
  </si>
  <si>
    <t>Doplňujúce konštrukcie,  zábradlie , plastové</t>
  </si>
  <si>
    <t>2225018402</t>
  </si>
  <si>
    <t>Doplňujúce konštrukcie, zábradlie plastové, cestné</t>
  </si>
  <si>
    <t>odvoz do vzd. 40 km s naložením a vykládkou</t>
  </si>
  <si>
    <t>odvoz oceľových dielcov spolu</t>
  </si>
  <si>
    <t xml:space="preserve">dočistenie tlakovou vodou 20 MPa </t>
  </si>
  <si>
    <t>01010201</t>
  </si>
  <si>
    <t>Pripravné práce, rúbanie stromov</t>
  </si>
  <si>
    <t>0101020101</t>
  </si>
  <si>
    <t>Pripravné práce, rúbanie stromov priemer do 50 cm</t>
  </si>
  <si>
    <t>01010202</t>
  </si>
  <si>
    <t>Pripravné práce, rúbanie odstránenie pňov</t>
  </si>
  <si>
    <t>0101020201</t>
  </si>
  <si>
    <t>Pripravné práce, rúbanie odstránenie pňov priemer do 50 cm</t>
  </si>
  <si>
    <t>0106020406</t>
  </si>
  <si>
    <t>Premiestnenie  vodorovné nad 3 000 m, kmeňov</t>
  </si>
  <si>
    <t>0106020405</t>
  </si>
  <si>
    <t>Premiestnenie  vodorovné nad 3 000 m, konárov</t>
  </si>
  <si>
    <t>22250980</t>
  </si>
  <si>
    <t>Doplňujúce konštrukcie,  obrubníky chodníkové</t>
  </si>
  <si>
    <t>2225098001</t>
  </si>
  <si>
    <t>Doplňujúce konštrukcie,  obrubníky chodníkové betónové</t>
  </si>
  <si>
    <t>Práce na vrchnej stavbe diaľníc, ciest, ulíc, chodníkov a nekrytých parkovísk</t>
  </si>
  <si>
    <t>lešenie, plošiny, prístup k NK a pilierom zospodu</t>
  </si>
  <si>
    <t>Nanášanie ochranných vrstiev - maliarske a natieračské práce</t>
  </si>
  <si>
    <t>45.41.10</t>
  </si>
  <si>
    <t>Práce na hrubej stavbe úprav tokov, hrádzí, zavlažovacích kanálov a akvaduktov</t>
  </si>
  <si>
    <t>Omietkárske práce</t>
  </si>
  <si>
    <t>OPRAVA SPODNEJ STAVBY MOSTA EV. Č. R1-033 LEHOTA</t>
  </si>
  <si>
    <t>búranie podkladový betón podpera 17 - podhľad:     (25,32-0,5*8)*2,1*0,2=</t>
  </si>
  <si>
    <t>čistenie betónových plôch od asfaltových náterov:     8*(2*29,205+4,95+5,025)=</t>
  </si>
  <si>
    <t>Vybúranie konštrukcií a demontáže, rôznych predmetov kovových</t>
  </si>
  <si>
    <t>demontáž U120-profilov</t>
  </si>
  <si>
    <t>05010812</t>
  </si>
  <si>
    <t>Búranie konštrukcií, otlčenie omietok a odstránenie povrchových úprav cementových</t>
  </si>
  <si>
    <t>mechanické čistenie - vodorovne</t>
  </si>
  <si>
    <t>mechanické čistenie - zvislo</t>
  </si>
  <si>
    <t>mechanické čistenie - podhľad</t>
  </si>
  <si>
    <t>dočistenie - vodorovne</t>
  </si>
  <si>
    <t>dočistenie - zvislo</t>
  </si>
  <si>
    <t>dočistenie - podhľad</t>
  </si>
  <si>
    <t>búranie spevnenia pod mostom:     2*2*0,2*11=</t>
  </si>
  <si>
    <t>05030304</t>
  </si>
  <si>
    <t>Odstránenie spevnených plôch vozoviek a doplňujúcich konštrukcií obrubníkov a krajníkov betónových</t>
  </si>
  <si>
    <t>0503030402</t>
  </si>
  <si>
    <t>Odstránenie spevnených plôch vozoviek a doplňujúcich konštrukcií obrubníkov a krajníkov betónových stojatých</t>
  </si>
  <si>
    <t>odstránenie obrubníkov</t>
  </si>
  <si>
    <t>05090461</t>
  </si>
  <si>
    <t>Doplňujúce práce, diamantové rezanie betónového krytu, podkladu</t>
  </si>
  <si>
    <t>0509046102</t>
  </si>
  <si>
    <t>Doplňujúce práce, diamantové rezanie betónového krytu, podkladu hr. nad 100 do 150 mm</t>
  </si>
  <si>
    <t>rezanie do betónu hrúbky do 150 mm - rímsový prefabrikát</t>
  </si>
  <si>
    <t>rezanie do betónu hrúbky do 150 mm - spevnenie pod mostom</t>
  </si>
  <si>
    <t xml:space="preserve">vyčistenie okolia mosta </t>
  </si>
  <si>
    <t>01010103</t>
  </si>
  <si>
    <t>Pripravné práce, odstránenie porastov krovín</t>
  </si>
  <si>
    <t>0101010301</t>
  </si>
  <si>
    <t>Pripravné práce, odstránenie porastov krovín na suchu</t>
  </si>
  <si>
    <t>kríky pod mostom:     35,0*0,5=</t>
  </si>
  <si>
    <t>15*0,471=</t>
  </si>
  <si>
    <t>15*0,804=</t>
  </si>
  <si>
    <t>Premiestnenie   vodorovné nad 3 000 m, mačiny</t>
  </si>
  <si>
    <t>0106020404</t>
  </si>
  <si>
    <t>Premiestnenie  vodorovné nad 3 000 m, vyklčovaných krovín</t>
  </si>
  <si>
    <t>1406,3*0,3=</t>
  </si>
  <si>
    <t>sanačný systém výstuže</t>
  </si>
  <si>
    <t>0,55*0,20*0,75*32=</t>
  </si>
  <si>
    <t>prefabrikované schodiskové stupne  - rozmer 750*550*200, C25/30, 32 kusov</t>
  </si>
  <si>
    <t>rozmer 250*50*1000</t>
  </si>
  <si>
    <t>11090201</t>
  </si>
  <si>
    <t>Schodiskové konštrukcie, stupne z betónu prostého</t>
  </si>
  <si>
    <t>1109020106</t>
  </si>
  <si>
    <t>Schodiskové konštrukcie, stupne z betónu prostého, tr. C 25/30 (B 30)</t>
  </si>
  <si>
    <t>1,67*1,25*2=</t>
  </si>
  <si>
    <t>11090211</t>
  </si>
  <si>
    <t>Schodiskové konštrukcie, stupne, debnenie tradičné</t>
  </si>
  <si>
    <t>1109021101</t>
  </si>
  <si>
    <t>Schodiskové konštrukcie, stupne, debnenie tradičné drevené</t>
  </si>
  <si>
    <t>1,67*4=</t>
  </si>
  <si>
    <t>1120010103</t>
  </si>
  <si>
    <t>Podkladné konštrukcie, podkladné vrstvy z betónu prostého, tr. C 12/15 (B 15)</t>
  </si>
  <si>
    <t>schody - podkladový betón C12/15:     0,48*1,45*2=</t>
  </si>
  <si>
    <t>0,48*4=</t>
  </si>
  <si>
    <t>kompozitné zábradlie vrátane povrchovej úpravy, krytiek na kotvy:     2*(0,47+5,41)=</t>
  </si>
  <si>
    <t>schody - obrubník</t>
  </si>
  <si>
    <t xml:space="preserve">čistenie tlakovou vodou 80-100 MPa </t>
  </si>
  <si>
    <t>podpera 7:     691,6 kg</t>
  </si>
  <si>
    <t>podpera 6:    212,80kg</t>
  </si>
  <si>
    <t>podpera 14:    266,0 kg</t>
  </si>
  <si>
    <t>22251595</t>
  </si>
  <si>
    <t>Doplňujúce konštrukcie,  čistenie rigolov</t>
  </si>
  <si>
    <t>prečistenie žľabu od nánosov:     18,0*1,1=</t>
  </si>
  <si>
    <t>opora 1 - oprava spevnenia pod mostom:     700*1,12*0,3=</t>
  </si>
  <si>
    <t>opora 19 - oprava spevnenia pod mostom:     540*0,3=</t>
  </si>
  <si>
    <t>oprava spevnenia svahu pod mostom - betónová dlažba 500*500*100, škárovanie</t>
  </si>
  <si>
    <t>05011001</t>
  </si>
  <si>
    <t>Búranie konštrukcií, frézovanie muriva, z dielcov prefabrikovaných</t>
  </si>
  <si>
    <t>dočistenie betónových plôch od asfaltových náterov brúsením:     8*(2*29,205+4,95+5,025)=</t>
  </si>
  <si>
    <t>Spolu</t>
  </si>
  <si>
    <t>odstránenie trsov trávy na ploche odstránenia porastov krovín</t>
  </si>
  <si>
    <t>1406,3*0,1=</t>
  </si>
  <si>
    <t>podkladový betón:      8,95*2,5=</t>
  </si>
  <si>
    <t>odstránenie povlakovej izolácie:     547,08*0,073=</t>
  </si>
  <si>
    <t>obrubníky:     4,5*0,23=</t>
  </si>
  <si>
    <t>demontované U120 profily:     0,212+0,691+0,266=</t>
  </si>
  <si>
    <t>vyčistenie okolia úložných prahov</t>
  </si>
  <si>
    <t>05090207</t>
  </si>
  <si>
    <t>Doplňujúce práce, úprava stavebných konštrukcií vysokotlakým vodným lúčom kovových</t>
  </si>
  <si>
    <t>0509020701</t>
  </si>
  <si>
    <t>Doplňujúce práce, úprava stavebných konštrukcií vysokotlakým vodným lúčom kovových, čistenie</t>
  </si>
  <si>
    <t>84010951</t>
  </si>
  <si>
    <t xml:space="preserve">Náter povrchov strojov a zariadení, otryskanie </t>
  </si>
  <si>
    <t>8401095101</t>
  </si>
  <si>
    <t>Náter povrchov strojov a zariadení, otryskanie kremičitým pieskom</t>
  </si>
  <si>
    <t>01010101</t>
  </si>
  <si>
    <t>Pripravné práce, odstránenie porastov travín</t>
  </si>
  <si>
    <t>0101010101</t>
  </si>
  <si>
    <t>Pripravné práce, odstránenie porastov travín na suchu</t>
  </si>
  <si>
    <t>kosenie trávnatých plôch</t>
  </si>
  <si>
    <t>13101513</t>
  </si>
  <si>
    <t>Vonkajšie povrchy stĺpov a pilierov, reprofilácia zvislých a šikmých plôch maltou sanačnou</t>
  </si>
  <si>
    <t>13070808</t>
  </si>
  <si>
    <t>Vonkajšie povrchy vodor. konštrukcií, maltovinová úprava z plastických maltovín</t>
  </si>
  <si>
    <t>1307080801</t>
  </si>
  <si>
    <t>Vonkajšie povrchy vodor. konštrukcií, maltovinová úprava z plastických maltovín, jednovrstvová</t>
  </si>
  <si>
    <t>13070708</t>
  </si>
  <si>
    <t>Vonkajšie povrchy vodor. konštrukcií, maltovinová úprava podhľadov z plastických maltovín</t>
  </si>
  <si>
    <t>1307070801</t>
  </si>
  <si>
    <t>Vonkajšie povrchy vodor. konštrukcií, maltovinová úprava podhľadov z plastických maltovín, jednovrstvová</t>
  </si>
  <si>
    <t>13100808</t>
  </si>
  <si>
    <t>Vonkajšie povrchy stĺpov a pilierov, maltovinová úprava z plastických maltovín</t>
  </si>
  <si>
    <t>1310080801</t>
  </si>
  <si>
    <t xml:space="preserve">Vonkajšie povrchy stĺpov a pilierov, maltovinová úprava z plastických maltovín, jednovrstvová </t>
  </si>
  <si>
    <t>jemná reprofilizácia</t>
  </si>
  <si>
    <t>84010107</t>
  </si>
  <si>
    <t>Náter oceľových konštrukcií, farba epoxidová</t>
  </si>
  <si>
    <t>8401010701</t>
  </si>
  <si>
    <t>Náter oceľových konštrukcií, farba epoxidová, základný</t>
  </si>
  <si>
    <t>8401010702</t>
  </si>
  <si>
    <t>Náter oceľových konštrukcií, farba epoxidová, jednonásobný</t>
  </si>
  <si>
    <t>84010110</t>
  </si>
  <si>
    <t>Náter oceľových konštrukcií, farba polyuretanová</t>
  </si>
  <si>
    <t>8401011002</t>
  </si>
  <si>
    <t>Náter oceľových konštrukcií, farba polyuretanová, jednonásobný</t>
  </si>
  <si>
    <t>8401081503</t>
  </si>
  <si>
    <t>Náter omietok a betónových povrchov, farba riediteľná vodou (akrylátová), mostoviek</t>
  </si>
  <si>
    <t>13111304</t>
  </si>
  <si>
    <t>Vonkajšie povrchy nádrží, zásobníkov, stôk, studní atď., torkrétovanie maltou cementovou</t>
  </si>
  <si>
    <t>torkrét nad 50 mm - zvislo</t>
  </si>
  <si>
    <t>podpera 15</t>
  </si>
  <si>
    <t>ochranný náter - podhľad</t>
  </si>
  <si>
    <t>ochranný náter - zvislo</t>
  </si>
  <si>
    <t>ochranný náter - vodorovne</t>
  </si>
  <si>
    <t>84010807</t>
  </si>
  <si>
    <t>Náter omietok a betónových povrchov, farba epoxidová</t>
  </si>
  <si>
    <t>8401080703</t>
  </si>
  <si>
    <t>Náter omietok a betónových povrchov, farba epoxidová, mostoviek</t>
  </si>
  <si>
    <t>84010810</t>
  </si>
  <si>
    <t>Náter omietok a betónových povrchov, impregnačný polyuretánový náter</t>
  </si>
  <si>
    <t>8401081003</t>
  </si>
  <si>
    <t>Náter omietok a betónových povrchov, impregnačný polyuretánový náter mostoviek</t>
  </si>
  <si>
    <t>21250424</t>
  </si>
  <si>
    <t>Doplňujúce konštrukcie, dilatačné zariadenia, tesnenie dilatačných škár</t>
  </si>
  <si>
    <t>2125042403</t>
  </si>
  <si>
    <t>Doplňujúce konštrukcie, dilatačné zariadenia, tesnenie dilatačných škár polyuretánovým tmelom</t>
  </si>
  <si>
    <t>2125042401</t>
  </si>
  <si>
    <t>Doplňujúce konštrukcie, dilatačné zariadenia, tesnenie dilatačných škár asfaltovou zálievkou</t>
  </si>
  <si>
    <t>trvalo pružná zálievka šírky 20mm</t>
  </si>
  <si>
    <t>Všeobecné položky v procese obstarávania stavieb</t>
  </si>
  <si>
    <t>Demolačné práce</t>
  </si>
  <si>
    <t>Úprava staveniska a vyčisťovacie práce</t>
  </si>
  <si>
    <t>Výkopové práce</t>
  </si>
  <si>
    <t>Most ev. č. R1-033 Lehota</t>
  </si>
  <si>
    <t>zvislo, podpera 17 a 18:     292,02+264,72=</t>
  </si>
  <si>
    <t>kotevno-impregnačný náter medzi obrubníkom a vozovkou:     556,74*0,04=</t>
  </si>
  <si>
    <t>náter na zlepšenie priľnavosti medzi obrubníkom a vozovkou:     556,74*0,04=</t>
  </si>
  <si>
    <t>trvalo pružný tmel (okolo pätiek zvodidiel):     1,25*556,74/2,25=</t>
  </si>
  <si>
    <t>01030102</t>
  </si>
  <si>
    <t>Hĺbené vykopávky jám nezapažených</t>
  </si>
  <si>
    <t>0103010207</t>
  </si>
  <si>
    <t>Hĺbené vykopávky jám nezapažených, tr. horniny 1-4</t>
  </si>
  <si>
    <t>výkop okolo základov otvorená stavebná jama</t>
  </si>
  <si>
    <t>pilier 2,3, 4,5,6,7,9,10,11,12,13,14</t>
  </si>
  <si>
    <t>pilier 8</t>
  </si>
  <si>
    <t>pilier 15</t>
  </si>
  <si>
    <t>pilier 16</t>
  </si>
  <si>
    <t>pilier 17,18</t>
  </si>
  <si>
    <t>01040402</t>
  </si>
  <si>
    <t>Konštrukcie z hornín - zásypy so zhutnením</t>
  </si>
  <si>
    <t>0104040207</t>
  </si>
  <si>
    <t>Konštrukcie z hornín - zásypy so zhutnením, tr. horniny 1-4</t>
  </si>
  <si>
    <t>spätný zásyp okolo základov</t>
  </si>
  <si>
    <t>Presun zemín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</si>
  <si>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</si>
  <si>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</si>
  <si>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</si>
  <si>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</si>
  <si>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zemina pre spätný zásyp okolo základov</t>
  </si>
  <si>
    <t>základný náter – epoxid -zinkový prach 60 µm</t>
  </si>
  <si>
    <t>medzivrstvový náter – epoxid 100 µm</t>
  </si>
  <si>
    <t xml:space="preserve">vrchný náter - polyuretán 80 µm
</t>
  </si>
  <si>
    <t>mechanické čistenie:     26206,5*0,07=</t>
  </si>
  <si>
    <t>náhrada za vybúrané obrubníky</t>
  </si>
  <si>
    <t>jednovrstvový sanačný systém do 20 mm:     149,5*0,02=</t>
  </si>
  <si>
    <t>jednovrstvový sanačný systém do 30 mm:     8628,19*0,03=</t>
  </si>
  <si>
    <t>dvojvrstvový sanačný systém do 50 mm:     2575,06*0,05=</t>
  </si>
  <si>
    <t>viacvrstvový sanačný systém nad 50 mm:     33,53*0,07=</t>
  </si>
  <si>
    <t>jednovrstvový sanačný systém do 20 mm:     219,69*0,02=</t>
  </si>
  <si>
    <t>jednovrstvový sanačný systém do 50 mm:     73,23*0,05=</t>
  </si>
  <si>
    <t>viacvrstvový sanačný systém nad 50 mm:     36,61*0,07=</t>
  </si>
  <si>
    <t xml:space="preserve">jednovrstvový sanačný systém do 20 mm:     10364,81*0,02= </t>
  </si>
  <si>
    <t>dvojvrstvový sanačný systém do 50 mm:     73,23*0,05=</t>
  </si>
  <si>
    <t xml:space="preserve">viacvrstvový sanačný systém nad 50 mm:     52,62*0,07=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</si>
</sst>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S_k_-;\-* #,##0.00\ _S_k_-;_-* &quot;-&quot;??\ _S_k_-;_-@_-"/>
  </numFmts>
  <fonts count="18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T*Switzerland Narrow"/>
      <charset val="238"/>
    </font>
    <font>
      <sz val="11"/>
      <color indexed="8"/>
      <name val="Calibri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i/>
      <sz val="10"/>
      <color rgb="FF7030A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9" fillId="0" borderId="0">
      <alignment horizontal="center" vertical="center" wrapText="1"/>
    </xf>
    <xf numFmtId="0" fontId="13" fillId="0" borderId="0"/>
    <xf numFmtId="0" fontId="8" fillId="0" borderId="0"/>
  </cellStyleXfs>
  <cellXfs count="155"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left" vertical="top"/>
    </xf>
    <xf numFmtId="49" fontId="3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0" fillId="0" borderId="0" xfId="0"/>
    <xf numFmtId="49" fontId="7" fillId="0" borderId="13" xfId="0" quotePrefix="1" applyNumberFormat="1" applyFont="1" applyFill="1" applyBorder="1" applyAlignment="1">
      <alignment horizontal="left" vertical="top"/>
    </xf>
    <xf numFmtId="49" fontId="7" fillId="0" borderId="15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49" fontId="8" fillId="0" borderId="15" xfId="0" quotePrefix="1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49" fontId="8" fillId="0" borderId="13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top" wrapText="1"/>
    </xf>
    <xf numFmtId="4" fontId="0" fillId="0" borderId="0" xfId="0" applyNumberFormat="1"/>
    <xf numFmtId="4" fontId="3" fillId="0" borderId="0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top"/>
    </xf>
    <xf numFmtId="4" fontId="2" fillId="0" borderId="7" xfId="0" applyNumberFormat="1" applyFont="1" applyBorder="1" applyAlignment="1">
      <alignment horizontal="center" vertical="top"/>
    </xf>
    <xf numFmtId="4" fontId="0" fillId="0" borderId="0" xfId="0" applyNumberFormat="1" applyAlignment="1">
      <alignment horizontal="center" vertical="top"/>
    </xf>
    <xf numFmtId="4" fontId="5" fillId="0" borderId="15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2" fillId="0" borderId="14" xfId="0" applyNumberFormat="1" applyFont="1" applyFill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center" vertical="top"/>
    </xf>
    <xf numFmtId="49" fontId="1" fillId="0" borderId="15" xfId="0" applyNumberFormat="1" applyFont="1" applyFill="1" applyBorder="1" applyAlignment="1">
      <alignment horizontal="left" vertical="top" wrapText="1"/>
    </xf>
    <xf numFmtId="49" fontId="2" fillId="0" borderId="15" xfId="0" applyNumberFormat="1" applyFont="1" applyFill="1" applyBorder="1" applyAlignment="1">
      <alignment horizontal="left" vertical="top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 vertical="top"/>
    </xf>
    <xf numFmtId="4" fontId="5" fillId="0" borderId="17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>
      <alignment horizontal="left" vertical="top"/>
    </xf>
    <xf numFmtId="49" fontId="1" fillId="0" borderId="2" xfId="0" applyNumberFormat="1" applyFont="1" applyFill="1" applyBorder="1" applyAlignment="1">
      <alignment horizontal="left" vertical="top" wrapText="1"/>
    </xf>
    <xf numFmtId="49" fontId="7" fillId="0" borderId="13" xfId="0" quotePrefix="1" applyNumberFormat="1" applyFont="1" applyBorder="1" applyAlignment="1">
      <alignment horizontal="left" vertical="top"/>
    </xf>
    <xf numFmtId="49" fontId="7" fillId="0" borderId="13" xfId="0" applyNumberFormat="1" applyFont="1" applyBorder="1" applyAlignment="1">
      <alignment horizontal="left" vertical="top"/>
    </xf>
    <xf numFmtId="0" fontId="7" fillId="0" borderId="13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left" vertical="top"/>
    </xf>
    <xf numFmtId="49" fontId="8" fillId="0" borderId="13" xfId="0" quotePrefix="1" applyNumberFormat="1" applyFont="1" applyBorder="1" applyAlignment="1">
      <alignment horizontal="left" vertical="top"/>
    </xf>
    <xf numFmtId="0" fontId="8" fillId="0" borderId="13" xfId="0" applyFont="1" applyBorder="1" applyAlignment="1">
      <alignment horizontal="center" vertical="top"/>
    </xf>
    <xf numFmtId="49" fontId="8" fillId="0" borderId="15" xfId="0" quotePrefix="1" applyNumberFormat="1" applyFont="1" applyBorder="1" applyAlignment="1">
      <alignment horizontal="left" vertical="top"/>
    </xf>
    <xf numFmtId="0" fontId="2" fillId="0" borderId="13" xfId="0" applyFont="1" applyFill="1" applyBorder="1" applyAlignment="1">
      <alignment vertical="top" wrapText="1"/>
    </xf>
    <xf numFmtId="0" fontId="0" fillId="0" borderId="0" xfId="0" applyFill="1" applyBorder="1"/>
    <xf numFmtId="0" fontId="1" fillId="0" borderId="13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5" xfId="0" quotePrefix="1" applyNumberFormat="1" applyFont="1" applyFill="1" applyBorder="1" applyAlignment="1">
      <alignment horizontal="left" vertical="top"/>
    </xf>
    <xf numFmtId="49" fontId="3" fillId="0" borderId="13" xfId="0" quotePrefix="1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ill="1"/>
    <xf numFmtId="49" fontId="7" fillId="0" borderId="13" xfId="0" applyNumberFormat="1" applyFont="1" applyFill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left" vertical="top" wrapText="1"/>
    </xf>
    <xf numFmtId="49" fontId="12" fillId="0" borderId="13" xfId="0" quotePrefix="1" applyNumberFormat="1" applyFont="1" applyBorder="1" applyAlignment="1">
      <alignment horizontal="left" vertical="top"/>
    </xf>
    <xf numFmtId="0" fontId="8" fillId="0" borderId="15" xfId="0" applyFont="1" applyFill="1" applyBorder="1" applyAlignment="1">
      <alignment vertical="top" wrapText="1"/>
    </xf>
    <xf numFmtId="49" fontId="8" fillId="0" borderId="15" xfId="0" applyNumberFormat="1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49" fontId="2" fillId="0" borderId="0" xfId="0" applyNumberFormat="1" applyFont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16" xfId="0" applyNumberFormat="1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49" fontId="2" fillId="0" borderId="13" xfId="0" applyNumberFormat="1" applyFont="1" applyFill="1" applyBorder="1" applyAlignment="1">
      <alignment horizontal="left" vertical="top" wrapText="1"/>
    </xf>
    <xf numFmtId="49" fontId="6" fillId="0" borderId="15" xfId="0" applyNumberFormat="1" applyFont="1" applyFill="1" applyBorder="1" applyAlignment="1" applyProtection="1">
      <alignment horizontal="left" vertical="top"/>
      <protection locked="0"/>
    </xf>
    <xf numFmtId="49" fontId="7" fillId="0" borderId="15" xfId="0" applyNumberFormat="1" applyFont="1" applyFill="1" applyBorder="1" applyAlignment="1" applyProtection="1">
      <alignment vertical="top" wrapText="1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4" fontId="7" fillId="0" borderId="15" xfId="0" applyNumberFormat="1" applyFont="1" applyFill="1" applyBorder="1" applyAlignment="1" applyProtection="1">
      <alignment horizontal="right" wrapText="1"/>
    </xf>
    <xf numFmtId="4" fontId="14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/>
    </xf>
    <xf numFmtId="49" fontId="6" fillId="0" borderId="13" xfId="0" applyNumberFormat="1" applyFont="1" applyFill="1" applyBorder="1" applyAlignment="1" applyProtection="1">
      <alignment horizontal="center" vertical="top"/>
    </xf>
    <xf numFmtId="49" fontId="3" fillId="0" borderId="15" xfId="0" applyNumberFormat="1" applyFont="1" applyFill="1" applyBorder="1" applyAlignment="1">
      <alignment horizontal="center" vertical="top"/>
    </xf>
    <xf numFmtId="49" fontId="2" fillId="0" borderId="13" xfId="0" applyNumberFormat="1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horizontal="center" vertical="top"/>
    </xf>
    <xf numFmtId="49" fontId="7" fillId="0" borderId="15" xfId="0" quotePrefix="1" applyNumberFormat="1" applyFont="1" applyFill="1" applyBorder="1" applyAlignment="1">
      <alignment horizontal="left" vertical="top"/>
    </xf>
    <xf numFmtId="49" fontId="15" fillId="0" borderId="4" xfId="0" applyNumberFormat="1" applyFont="1" applyBorder="1" applyAlignment="1">
      <alignment horizontal="center" vertical="top" wrapText="1"/>
    </xf>
    <xf numFmtId="49" fontId="15" fillId="0" borderId="2" xfId="0" applyNumberFormat="1" applyFont="1" applyFill="1" applyBorder="1" applyAlignment="1">
      <alignment horizontal="left" vertical="top" wrapText="1"/>
    </xf>
    <xf numFmtId="49" fontId="15" fillId="0" borderId="13" xfId="0" applyNumberFormat="1" applyFont="1" applyFill="1" applyBorder="1" applyAlignment="1">
      <alignment horizontal="left" vertical="top"/>
    </xf>
    <xf numFmtId="49" fontId="16" fillId="0" borderId="13" xfId="0" applyNumberFormat="1" applyFont="1" applyFill="1" applyBorder="1" applyAlignment="1">
      <alignment horizontal="left" vertical="top"/>
    </xf>
    <xf numFmtId="49" fontId="15" fillId="0" borderId="0" xfId="0" applyNumberFormat="1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top"/>
    </xf>
    <xf numFmtId="4" fontId="15" fillId="0" borderId="6" xfId="0" applyNumberFormat="1" applyFont="1" applyFill="1" applyBorder="1" applyAlignment="1">
      <alignment horizontal="center" vertical="top"/>
    </xf>
    <xf numFmtId="0" fontId="0" fillId="0" borderId="0" xfId="0" applyFont="1"/>
    <xf numFmtId="49" fontId="15" fillId="0" borderId="16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0" xfId="0" applyFont="1" applyFill="1"/>
    <xf numFmtId="49" fontId="15" fillId="0" borderId="16" xfId="0" applyNumberFormat="1" applyFont="1" applyBorder="1" applyAlignment="1">
      <alignment horizontal="center" vertical="top" wrapText="1"/>
    </xf>
    <xf numFmtId="49" fontId="17" fillId="0" borderId="13" xfId="0" applyNumberFormat="1" applyFont="1" applyFill="1" applyBorder="1" applyAlignment="1">
      <alignment vertical="top"/>
    </xf>
    <xf numFmtId="49" fontId="17" fillId="0" borderId="13" xfId="0" applyNumberFormat="1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49" fontId="15" fillId="0" borderId="2" xfId="0" applyNumberFormat="1" applyFont="1" applyBorder="1" applyAlignment="1">
      <alignment horizontal="left" vertical="top" wrapText="1"/>
    </xf>
    <xf numFmtId="49" fontId="15" fillId="0" borderId="13" xfId="0" applyNumberFormat="1" applyFont="1" applyBorder="1" applyAlignment="1">
      <alignment horizontal="left" vertical="top"/>
    </xf>
    <xf numFmtId="49" fontId="15" fillId="0" borderId="0" xfId="0" applyNumberFormat="1" applyFont="1" applyBorder="1" applyAlignment="1">
      <alignment horizontal="left" vertical="top" wrapText="1"/>
    </xf>
    <xf numFmtId="4" fontId="16" fillId="0" borderId="0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top"/>
    </xf>
    <xf numFmtId="4" fontId="15" fillId="0" borderId="6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49" fontId="17" fillId="0" borderId="0" xfId="0" applyNumberFormat="1" applyFont="1" applyFill="1" applyBorder="1" applyAlignment="1">
      <alignment vertical="top"/>
    </xf>
    <xf numFmtId="0" fontId="12" fillId="0" borderId="0" xfId="0" applyFont="1" applyAlignment="1">
      <alignment wrapText="1"/>
    </xf>
    <xf numFmtId="4" fontId="16" fillId="0" borderId="6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4" fontId="5" fillId="0" borderId="0" xfId="0" applyNumberFormat="1" applyFont="1" applyFill="1" applyBorder="1" applyAlignment="1">
      <alignment horizontal="center" vertical="top"/>
    </xf>
    <xf numFmtId="4" fontId="5" fillId="0" borderId="17" xfId="0" applyNumberFormat="1" applyFont="1" applyFill="1" applyBorder="1" applyAlignment="1">
      <alignment horizontal="center" vertical="top"/>
    </xf>
    <xf numFmtId="49" fontId="17" fillId="0" borderId="2" xfId="0" applyNumberFormat="1" applyFont="1" applyFill="1" applyBorder="1" applyAlignment="1">
      <alignment vertical="top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wrapText="1"/>
    </xf>
    <xf numFmtId="49" fontId="8" fillId="0" borderId="13" xfId="0" quotePrefix="1" applyNumberFormat="1" applyFont="1" applyFill="1" applyBorder="1" applyAlignment="1">
      <alignment horizontal="left" vertical="top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wrapText="1"/>
    </xf>
    <xf numFmtId="0" fontId="1" fillId="0" borderId="15" xfId="0" applyFont="1" applyFill="1" applyBorder="1" applyAlignment="1">
      <alignment vertical="top" wrapText="1"/>
    </xf>
    <xf numFmtId="0" fontId="0" fillId="0" borderId="13" xfId="0" applyFill="1" applyBorder="1"/>
    <xf numFmtId="49" fontId="15" fillId="0" borderId="13" xfId="0" applyNumberFormat="1" applyFont="1" applyBorder="1" applyAlignment="1">
      <alignment horizontal="left" vertical="top" wrapText="1"/>
    </xf>
    <xf numFmtId="4" fontId="4" fillId="0" borderId="18" xfId="0" applyNumberFormat="1" applyFont="1" applyBorder="1" applyAlignment="1">
      <alignment horizontal="center" vertical="top"/>
    </xf>
    <xf numFmtId="4" fontId="4" fillId="0" borderId="1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</cellXfs>
  <cellStyles count="5">
    <cellStyle name="Čiarka 2" xfId="1"/>
    <cellStyle name="Normal_035-00, 036-00, 037-00" xfId="2"/>
    <cellStyle name="Normálna 2 2" xfId="3"/>
    <cellStyle name="Normálna 4" xfId="4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3"/>
  <sheetViews>
    <sheetView tabSelected="1" topLeftCell="A175" zoomScaleNormal="100" workbookViewId="0">
      <selection activeCell="G192" sqref="G192:G193"/>
    </sheetView>
  </sheetViews>
  <sheetFormatPr defaultRowHeight="15.75"/>
  <cols>
    <col min="1" max="1" width="5.7109375" style="78" customWidth="1"/>
    <col min="2" max="2" width="11.7109375" style="1" customWidth="1"/>
    <col min="3" max="3" width="11.7109375" style="2" customWidth="1"/>
    <col min="4" max="4" width="11.7109375" style="30" customWidth="1"/>
    <col min="5" max="5" width="50.7109375" style="3" customWidth="1"/>
    <col min="6" max="6" width="11.7109375" style="22" customWidth="1"/>
    <col min="7" max="7" width="4.7109375" style="90" customWidth="1"/>
    <col min="8" max="8" width="11.7109375" style="26" customWidth="1"/>
    <col min="9" max="9" width="9.140625" style="63"/>
  </cols>
  <sheetData>
    <row r="1" spans="1:9" ht="31.5">
      <c r="B1" s="3" t="s">
        <v>0</v>
      </c>
      <c r="C1" s="4"/>
      <c r="D1" s="29"/>
      <c r="E1" s="5" t="s">
        <v>115</v>
      </c>
    </row>
    <row r="2" spans="1:9" ht="15">
      <c r="B2" s="3"/>
      <c r="C2" s="4"/>
      <c r="D2" s="29"/>
      <c r="E2" s="4"/>
    </row>
    <row r="3" spans="1:9" ht="15">
      <c r="B3" s="3" t="s">
        <v>1</v>
      </c>
      <c r="C3" s="4"/>
      <c r="D3" s="66" t="s">
        <v>26</v>
      </c>
      <c r="E3" s="65" t="s">
        <v>259</v>
      </c>
    </row>
    <row r="5" spans="1:9" ht="16.5" thickBot="1"/>
    <row r="6" spans="1:9" ht="15">
      <c r="A6" s="149" t="s">
        <v>2</v>
      </c>
      <c r="B6" s="152" t="s">
        <v>3</v>
      </c>
      <c r="C6" s="152"/>
      <c r="D6" s="152"/>
      <c r="E6" s="152" t="s">
        <v>4</v>
      </c>
      <c r="F6" s="152"/>
      <c r="G6" s="153" t="s">
        <v>5</v>
      </c>
      <c r="H6" s="147" t="s">
        <v>6</v>
      </c>
    </row>
    <row r="7" spans="1:9" ht="15">
      <c r="A7" s="150"/>
      <c r="B7" s="151" t="s">
        <v>7</v>
      </c>
      <c r="C7" s="151"/>
      <c r="D7" s="99" t="s">
        <v>8</v>
      </c>
      <c r="E7" s="151"/>
      <c r="F7" s="151"/>
      <c r="G7" s="154"/>
      <c r="H7" s="148"/>
    </row>
    <row r="8" spans="1:9">
      <c r="A8" s="79"/>
      <c r="B8" s="6"/>
      <c r="C8" s="8"/>
      <c r="D8" s="31"/>
      <c r="E8" s="10"/>
      <c r="F8" s="23"/>
      <c r="G8" s="91"/>
      <c r="H8" s="24"/>
    </row>
    <row r="9" spans="1:9" s="113" customFormat="1" ht="30">
      <c r="A9" s="105"/>
      <c r="B9" s="121" t="s">
        <v>21</v>
      </c>
      <c r="C9" s="122"/>
      <c r="D9" s="108"/>
      <c r="E9" s="123" t="s">
        <v>255</v>
      </c>
      <c r="F9" s="124"/>
      <c r="G9" s="125"/>
      <c r="H9" s="126"/>
      <c r="I9" s="116"/>
    </row>
    <row r="10" spans="1:9" s="14" customFormat="1" ht="25.5" customHeight="1">
      <c r="A10" s="28">
        <f>MAX(A$2:A9)+1</f>
        <v>1</v>
      </c>
      <c r="B10" s="84" t="s">
        <v>21</v>
      </c>
      <c r="C10" s="85" t="s">
        <v>22</v>
      </c>
      <c r="D10" s="86"/>
      <c r="E10" s="87" t="s">
        <v>23</v>
      </c>
      <c r="F10" s="88"/>
      <c r="G10" s="94" t="s">
        <v>16</v>
      </c>
      <c r="H10" s="36">
        <f>H11</f>
        <v>1897.8</v>
      </c>
      <c r="I10" s="63"/>
    </row>
    <row r="11" spans="1:9" s="14" customFormat="1" ht="25.5">
      <c r="A11" s="28"/>
      <c r="B11" s="44"/>
      <c r="C11" s="38"/>
      <c r="D11" s="32" t="s">
        <v>22</v>
      </c>
      <c r="E11" s="21" t="s">
        <v>23</v>
      </c>
      <c r="F11" s="42"/>
      <c r="G11" s="93" t="s">
        <v>16</v>
      </c>
      <c r="H11" s="40">
        <f>ROUND(F53,2)</f>
        <v>1897.8</v>
      </c>
      <c r="I11" s="63"/>
    </row>
    <row r="12" spans="1:9" s="14" customFormat="1" ht="25.5" customHeight="1">
      <c r="A12" s="28">
        <f>MAX(A$2:A11)+1</f>
        <v>2</v>
      </c>
      <c r="B12" s="84" t="s">
        <v>21</v>
      </c>
      <c r="C12" s="85" t="s">
        <v>24</v>
      </c>
      <c r="D12" s="86"/>
      <c r="E12" s="87" t="s">
        <v>25</v>
      </c>
      <c r="F12" s="88"/>
      <c r="G12" s="94" t="s">
        <v>10</v>
      </c>
      <c r="H12" s="36">
        <f>H13</f>
        <v>581.65</v>
      </c>
      <c r="I12" s="63"/>
    </row>
    <row r="13" spans="1:9" s="14" customFormat="1" ht="25.5">
      <c r="A13" s="28"/>
      <c r="B13" s="44"/>
      <c r="C13" s="38"/>
      <c r="D13" s="32" t="s">
        <v>24</v>
      </c>
      <c r="E13" s="21" t="s">
        <v>25</v>
      </c>
      <c r="F13" s="42"/>
      <c r="G13" s="93" t="s">
        <v>10</v>
      </c>
      <c r="H13" s="40">
        <f>H100</f>
        <v>581.65</v>
      </c>
      <c r="I13" s="63"/>
    </row>
    <row r="14" spans="1:9" s="14" customFormat="1" ht="12.75" customHeight="1">
      <c r="A14" s="28">
        <f>MAX(A$2:A13)+1</f>
        <v>3</v>
      </c>
      <c r="B14" s="35" t="s">
        <v>21</v>
      </c>
      <c r="C14" s="15" t="s">
        <v>63</v>
      </c>
      <c r="D14" s="16"/>
      <c r="E14" s="17" t="s">
        <v>64</v>
      </c>
      <c r="F14" s="17"/>
      <c r="G14" s="92" t="s">
        <v>62</v>
      </c>
      <c r="H14" s="36">
        <f>H15</f>
        <v>1</v>
      </c>
      <c r="I14" s="63"/>
    </row>
    <row r="15" spans="1:9" s="14" customFormat="1" ht="25.5">
      <c r="A15" s="28"/>
      <c r="B15" s="47"/>
      <c r="C15" s="46"/>
      <c r="D15" s="32" t="s">
        <v>63</v>
      </c>
      <c r="E15" s="21" t="s">
        <v>64</v>
      </c>
      <c r="F15" s="42"/>
      <c r="G15" s="93" t="s">
        <v>62</v>
      </c>
      <c r="H15" s="40">
        <v>1</v>
      </c>
      <c r="I15" s="63"/>
    </row>
    <row r="16" spans="1:9" s="14" customFormat="1" ht="12.75" customHeight="1">
      <c r="A16" s="79"/>
      <c r="B16" s="47"/>
      <c r="C16" s="46"/>
      <c r="D16" s="32"/>
      <c r="E16" s="11" t="s">
        <v>110</v>
      </c>
      <c r="F16" s="42"/>
      <c r="G16" s="93"/>
      <c r="H16" s="40"/>
      <c r="I16" s="63"/>
    </row>
    <row r="17" spans="1:9" s="113" customFormat="1" ht="15">
      <c r="A17" s="105"/>
      <c r="B17" s="121" t="s">
        <v>9</v>
      </c>
      <c r="C17" s="122"/>
      <c r="D17" s="108"/>
      <c r="E17" s="123" t="s">
        <v>256</v>
      </c>
      <c r="F17" s="124"/>
      <c r="G17" s="125"/>
      <c r="H17" s="126"/>
      <c r="I17" s="116"/>
    </row>
    <row r="18" spans="1:9" s="14" customFormat="1" ht="25.5">
      <c r="A18" s="28">
        <f>MAX(A$2:A17)+1</f>
        <v>4</v>
      </c>
      <c r="B18" s="35" t="s">
        <v>9</v>
      </c>
      <c r="C18" s="15" t="s">
        <v>27</v>
      </c>
      <c r="D18" s="16"/>
      <c r="E18" s="17" t="s">
        <v>28</v>
      </c>
      <c r="F18" s="17"/>
      <c r="G18" s="71" t="s">
        <v>10</v>
      </c>
      <c r="H18" s="36">
        <f>H19</f>
        <v>8.9499999999999993</v>
      </c>
      <c r="I18" s="63"/>
    </row>
    <row r="19" spans="1:9" s="14" customFormat="1" ht="25.5">
      <c r="A19" s="28"/>
      <c r="B19" s="44"/>
      <c r="C19" s="38"/>
      <c r="D19" s="32" t="s">
        <v>27</v>
      </c>
      <c r="E19" s="21" t="s">
        <v>28</v>
      </c>
      <c r="F19" s="42"/>
      <c r="G19" s="93" t="s">
        <v>10</v>
      </c>
      <c r="H19" s="40">
        <f>ROUND(F20,2)</f>
        <v>8.9499999999999993</v>
      </c>
      <c r="I19" s="63"/>
    </row>
    <row r="20" spans="1:9" s="14" customFormat="1" ht="25.5">
      <c r="A20" s="79"/>
      <c r="B20" s="44"/>
      <c r="C20" s="38"/>
      <c r="D20" s="32"/>
      <c r="E20" s="11" t="s">
        <v>116</v>
      </c>
      <c r="F20" s="27">
        <f>(25.32-0.5*8)*2.1*0.2</f>
        <v>8.9544000000000015</v>
      </c>
      <c r="G20" s="95"/>
      <c r="H20" s="40"/>
      <c r="I20" s="63"/>
    </row>
    <row r="21" spans="1:9" s="14" customFormat="1" ht="25.5">
      <c r="A21" s="28">
        <f>MAX(A$2:A20)+1</f>
        <v>5</v>
      </c>
      <c r="B21" s="35" t="s">
        <v>9</v>
      </c>
      <c r="C21" s="48" t="s">
        <v>120</v>
      </c>
      <c r="D21" s="49"/>
      <c r="E21" s="128" t="s">
        <v>121</v>
      </c>
      <c r="F21" s="129"/>
      <c r="G21" s="50" t="s">
        <v>12</v>
      </c>
      <c r="H21" s="36">
        <f>H22</f>
        <v>26206.5</v>
      </c>
      <c r="I21" s="63"/>
    </row>
    <row r="22" spans="1:9" s="14" customFormat="1" ht="25.5">
      <c r="A22" s="28"/>
      <c r="B22" s="44"/>
      <c r="C22" s="38"/>
      <c r="D22" s="32" t="s">
        <v>120</v>
      </c>
      <c r="E22" s="21" t="s">
        <v>121</v>
      </c>
      <c r="F22" s="42"/>
      <c r="G22" s="93" t="s">
        <v>12</v>
      </c>
      <c r="H22" s="40">
        <f>F26</f>
        <v>26206.5</v>
      </c>
      <c r="I22" s="63"/>
    </row>
    <row r="23" spans="1:9" s="14" customFormat="1">
      <c r="A23" s="28"/>
      <c r="B23" s="44"/>
      <c r="C23" s="38"/>
      <c r="D23" s="33"/>
      <c r="E23" s="11" t="s">
        <v>122</v>
      </c>
      <c r="F23" s="27">
        <v>383.44</v>
      </c>
      <c r="G23" s="93"/>
      <c r="H23" s="40"/>
      <c r="I23" s="63"/>
    </row>
    <row r="24" spans="1:9" s="14" customFormat="1">
      <c r="A24" s="28"/>
      <c r="B24" s="44"/>
      <c r="C24" s="38"/>
      <c r="D24" s="33"/>
      <c r="E24" s="11" t="s">
        <v>123</v>
      </c>
      <c r="F24" s="27">
        <v>14426.6</v>
      </c>
      <c r="G24" s="93"/>
      <c r="H24" s="40"/>
      <c r="I24" s="63"/>
    </row>
    <row r="25" spans="1:9" s="14" customFormat="1">
      <c r="A25" s="28"/>
      <c r="B25" s="47"/>
      <c r="C25" s="46"/>
      <c r="D25" s="33"/>
      <c r="E25" s="11" t="s">
        <v>124</v>
      </c>
      <c r="F25" s="41">
        <v>11396.46</v>
      </c>
      <c r="G25" s="93"/>
      <c r="H25" s="40"/>
      <c r="I25" s="63"/>
    </row>
    <row r="26" spans="1:9" s="14" customFormat="1" ht="12.75" customHeight="1">
      <c r="A26" s="28"/>
      <c r="B26" s="47"/>
      <c r="C26" s="46"/>
      <c r="D26" s="33"/>
      <c r="E26" s="11"/>
      <c r="F26" s="27">
        <f>SUM(F23:F25)</f>
        <v>26206.5</v>
      </c>
      <c r="G26" s="93"/>
      <c r="H26" s="40"/>
      <c r="I26" s="63"/>
    </row>
    <row r="27" spans="1:9" s="14" customFormat="1" ht="25.5">
      <c r="A27" s="28">
        <f>MAX(A$2:A26)+1</f>
        <v>6</v>
      </c>
      <c r="B27" s="35" t="s">
        <v>9</v>
      </c>
      <c r="C27" s="48" t="s">
        <v>182</v>
      </c>
      <c r="D27" s="49"/>
      <c r="E27" s="128" t="s">
        <v>183</v>
      </c>
      <c r="F27" s="129"/>
      <c r="G27" s="71" t="s">
        <v>12</v>
      </c>
      <c r="H27" s="36">
        <f>H28</f>
        <v>547.08000000000004</v>
      </c>
      <c r="I27" s="63"/>
    </row>
    <row r="28" spans="1:9" s="14" customFormat="1" ht="25.5">
      <c r="A28" s="28"/>
      <c r="B28" s="47"/>
      <c r="C28" s="46"/>
      <c r="D28" s="32" t="s">
        <v>182</v>
      </c>
      <c r="E28" s="21" t="s">
        <v>183</v>
      </c>
      <c r="F28" s="43"/>
      <c r="G28" s="93" t="s">
        <v>12</v>
      </c>
      <c r="H28" s="40">
        <f>ROUND(F29,2)</f>
        <v>547.08000000000004</v>
      </c>
      <c r="I28" s="63"/>
    </row>
    <row r="29" spans="1:9" s="14" customFormat="1" ht="25.5">
      <c r="A29" s="28"/>
      <c r="B29" s="47"/>
      <c r="C29" s="46"/>
      <c r="D29" s="33"/>
      <c r="E29" s="11" t="s">
        <v>184</v>
      </c>
      <c r="F29" s="43">
        <f>8*(2*29.205+4.95+5.025)</f>
        <v>547.08000000000004</v>
      </c>
      <c r="G29" s="93"/>
      <c r="H29" s="40"/>
      <c r="I29" s="63"/>
    </row>
    <row r="30" spans="1:9" s="14" customFormat="1" ht="25.5">
      <c r="A30" s="28">
        <f>MAX(A$2:A29)+1</f>
        <v>7</v>
      </c>
      <c r="B30" s="35" t="s">
        <v>9</v>
      </c>
      <c r="C30" s="15" t="s">
        <v>29</v>
      </c>
      <c r="D30" s="16"/>
      <c r="E30" s="17" t="s">
        <v>30</v>
      </c>
      <c r="F30" s="17"/>
      <c r="G30" s="71" t="s">
        <v>12</v>
      </c>
      <c r="H30" s="36">
        <f>H31</f>
        <v>547.08000000000004</v>
      </c>
      <c r="I30" s="63"/>
    </row>
    <row r="31" spans="1:9" s="14" customFormat="1" ht="12.75" customHeight="1">
      <c r="A31" s="28"/>
      <c r="B31" s="45"/>
      <c r="C31" s="46"/>
      <c r="D31" s="32" t="s">
        <v>29</v>
      </c>
      <c r="E31" s="21" t="s">
        <v>30</v>
      </c>
      <c r="F31" s="39"/>
      <c r="G31" s="95" t="s">
        <v>12</v>
      </c>
      <c r="H31" s="40">
        <f>ROUND(F32,2)</f>
        <v>547.08000000000004</v>
      </c>
      <c r="I31" s="63"/>
    </row>
    <row r="32" spans="1:9" s="14" customFormat="1" ht="25.5">
      <c r="A32" s="28"/>
      <c r="B32" s="37"/>
      <c r="C32" s="38"/>
      <c r="D32" s="33"/>
      <c r="E32" s="11" t="s">
        <v>117</v>
      </c>
      <c r="F32" s="27">
        <f>8*(2*29.205+4.95+5.025)</f>
        <v>547.08000000000004</v>
      </c>
      <c r="G32" s="95"/>
      <c r="H32" s="40"/>
      <c r="I32" s="63"/>
    </row>
    <row r="33" spans="1:9" s="14" customFormat="1" ht="25.5">
      <c r="A33" s="28">
        <f>MAX(A$2:A32)+1</f>
        <v>8</v>
      </c>
      <c r="B33" s="35" t="s">
        <v>9</v>
      </c>
      <c r="C33" s="48" t="s">
        <v>31</v>
      </c>
      <c r="D33" s="49"/>
      <c r="E33" s="128" t="s">
        <v>118</v>
      </c>
      <c r="F33" s="129"/>
      <c r="G33" s="50" t="s">
        <v>11</v>
      </c>
      <c r="H33" s="40">
        <f>H34</f>
        <v>10</v>
      </c>
      <c r="I33" s="63"/>
    </row>
    <row r="34" spans="1:9" s="14" customFormat="1" ht="25.5">
      <c r="A34" s="28"/>
      <c r="B34" s="44"/>
      <c r="C34" s="38"/>
      <c r="D34" s="32" t="s">
        <v>31</v>
      </c>
      <c r="E34" s="21" t="s">
        <v>118</v>
      </c>
      <c r="F34" s="42"/>
      <c r="G34" s="93" t="s">
        <v>11</v>
      </c>
      <c r="H34" s="40">
        <f>F39</f>
        <v>10</v>
      </c>
      <c r="I34" s="63"/>
    </row>
    <row r="35" spans="1:9" s="14" customFormat="1">
      <c r="A35" s="28"/>
      <c r="B35" s="44"/>
      <c r="C35" s="38"/>
      <c r="D35" s="33"/>
      <c r="E35" s="11" t="s">
        <v>119</v>
      </c>
      <c r="F35" s="42"/>
      <c r="G35" s="93"/>
      <c r="H35" s="40"/>
      <c r="I35" s="63"/>
    </row>
    <row r="36" spans="1:9" s="14" customFormat="1">
      <c r="A36" s="28"/>
      <c r="B36" s="44"/>
      <c r="C36" s="38"/>
      <c r="D36" s="33"/>
      <c r="E36" s="11" t="s">
        <v>174</v>
      </c>
      <c r="F36" s="27">
        <v>2</v>
      </c>
      <c r="G36" s="93"/>
      <c r="H36" s="40"/>
      <c r="I36" s="63"/>
    </row>
    <row r="37" spans="1:9" s="14" customFormat="1">
      <c r="A37" s="28"/>
      <c r="B37" s="44"/>
      <c r="C37" s="38"/>
      <c r="D37" s="33"/>
      <c r="E37" s="11" t="s">
        <v>173</v>
      </c>
      <c r="F37" s="27">
        <v>6</v>
      </c>
      <c r="G37" s="93"/>
      <c r="H37" s="40"/>
      <c r="I37" s="63"/>
    </row>
    <row r="38" spans="1:9" s="14" customFormat="1">
      <c r="A38" s="28"/>
      <c r="B38" s="44"/>
      <c r="C38" s="38"/>
      <c r="D38" s="33"/>
      <c r="E38" s="11" t="s">
        <v>175</v>
      </c>
      <c r="F38" s="41">
        <v>2</v>
      </c>
      <c r="G38" s="93"/>
      <c r="H38" s="40"/>
      <c r="I38" s="63"/>
    </row>
    <row r="39" spans="1:9" s="14" customFormat="1">
      <c r="A39" s="28"/>
      <c r="B39" s="45"/>
      <c r="C39" s="15"/>
      <c r="D39" s="33"/>
      <c r="E39" s="11"/>
      <c r="F39" s="27">
        <f>SUM(F36:F38)</f>
        <v>10</v>
      </c>
      <c r="G39" s="93"/>
      <c r="H39" s="40"/>
      <c r="I39" s="63"/>
    </row>
    <row r="40" spans="1:9" s="14" customFormat="1" ht="38.25">
      <c r="A40" s="28">
        <f>MAX(A$2:A39)+1</f>
        <v>9</v>
      </c>
      <c r="B40" s="35" t="s">
        <v>9</v>
      </c>
      <c r="C40" s="48" t="s">
        <v>129</v>
      </c>
      <c r="D40" s="49"/>
      <c r="E40" s="128" t="s">
        <v>130</v>
      </c>
      <c r="F40" s="129"/>
      <c r="G40" s="50" t="s">
        <v>13</v>
      </c>
      <c r="H40" s="36">
        <f>H41</f>
        <v>4.5</v>
      </c>
      <c r="I40" s="63"/>
    </row>
    <row r="41" spans="1:9" s="14" customFormat="1" ht="25.5">
      <c r="A41" s="28"/>
      <c r="B41" s="45"/>
      <c r="C41" s="15"/>
      <c r="D41" s="52" t="s">
        <v>131</v>
      </c>
      <c r="E41" s="130" t="s">
        <v>132</v>
      </c>
      <c r="F41" s="131"/>
      <c r="G41" s="53" t="s">
        <v>13</v>
      </c>
      <c r="H41" s="40">
        <f>F42</f>
        <v>4.5</v>
      </c>
      <c r="I41" s="63"/>
    </row>
    <row r="42" spans="1:9" s="14" customFormat="1">
      <c r="A42" s="28"/>
      <c r="B42" s="45"/>
      <c r="C42" s="15"/>
      <c r="D42" s="33"/>
      <c r="E42" s="11" t="s">
        <v>133</v>
      </c>
      <c r="F42" s="43">
        <v>4.5</v>
      </c>
      <c r="G42" s="93"/>
      <c r="H42" s="40"/>
      <c r="I42" s="63"/>
    </row>
    <row r="43" spans="1:9" s="14" customFormat="1" ht="25.5">
      <c r="A43" s="28">
        <f>MAX(A$2:A42)+1</f>
        <v>10</v>
      </c>
      <c r="B43" s="35" t="s">
        <v>9</v>
      </c>
      <c r="C43" s="15" t="s">
        <v>32</v>
      </c>
      <c r="D43" s="16"/>
      <c r="E43" s="17" t="s">
        <v>33</v>
      </c>
      <c r="F43" s="17"/>
      <c r="G43" s="71" t="s">
        <v>10</v>
      </c>
      <c r="H43" s="36">
        <f>H44</f>
        <v>8.8000000000000007</v>
      </c>
      <c r="I43" s="63"/>
    </row>
    <row r="44" spans="1:9" s="14" customFormat="1" ht="25.5" customHeight="1">
      <c r="A44" s="79"/>
      <c r="B44" s="47"/>
      <c r="C44" s="15"/>
      <c r="D44" s="18" t="s">
        <v>32</v>
      </c>
      <c r="E44" s="19" t="s">
        <v>33</v>
      </c>
      <c r="F44" s="19"/>
      <c r="G44" s="73" t="s">
        <v>10</v>
      </c>
      <c r="H44" s="40">
        <f>ROUND(F45,2)</f>
        <v>8.8000000000000007</v>
      </c>
      <c r="I44" s="63"/>
    </row>
    <row r="45" spans="1:9" s="14" customFormat="1" ht="12.75" customHeight="1">
      <c r="A45" s="28"/>
      <c r="B45" s="44"/>
      <c r="C45" s="38"/>
      <c r="D45" s="33"/>
      <c r="E45" s="11" t="s">
        <v>128</v>
      </c>
      <c r="F45" s="27">
        <f>2*2*0.2*11</f>
        <v>8.8000000000000007</v>
      </c>
      <c r="G45" s="95"/>
      <c r="H45" s="40"/>
      <c r="I45" s="63"/>
    </row>
    <row r="46" spans="1:9" s="14" customFormat="1" ht="15">
      <c r="A46" s="28">
        <f>MAX(A$2:A45)+1</f>
        <v>11</v>
      </c>
      <c r="B46" s="35" t="s">
        <v>9</v>
      </c>
      <c r="C46" s="15" t="s">
        <v>14</v>
      </c>
      <c r="D46" s="16"/>
      <c r="E46" s="17" t="s">
        <v>15</v>
      </c>
      <c r="F46" s="17"/>
      <c r="G46" s="71" t="s">
        <v>16</v>
      </c>
      <c r="H46" s="36">
        <f>H47</f>
        <v>1898.97</v>
      </c>
      <c r="I46" s="63"/>
    </row>
    <row r="47" spans="1:9" s="14" customFormat="1" ht="12.75" customHeight="1">
      <c r="A47" s="79"/>
      <c r="B47" s="47"/>
      <c r="C47" s="15"/>
      <c r="D47" s="18" t="s">
        <v>17</v>
      </c>
      <c r="E47" s="19" t="s">
        <v>18</v>
      </c>
      <c r="F47" s="19"/>
      <c r="G47" s="73" t="s">
        <v>16</v>
      </c>
      <c r="H47" s="40">
        <f>ROUND(F57,2)</f>
        <v>1898.97</v>
      </c>
      <c r="I47" s="63"/>
    </row>
    <row r="48" spans="1:9" s="14" customFormat="1" ht="12.75" customHeight="1">
      <c r="A48" s="28"/>
      <c r="B48" s="44"/>
      <c r="C48" s="38"/>
      <c r="D48" s="33"/>
      <c r="E48" s="11" t="s">
        <v>90</v>
      </c>
      <c r="F48" s="43"/>
      <c r="G48" s="93"/>
      <c r="H48" s="40"/>
      <c r="I48" s="63"/>
    </row>
    <row r="49" spans="1:9" s="14" customFormat="1" ht="12.75" customHeight="1">
      <c r="A49" s="28"/>
      <c r="B49" s="44"/>
      <c r="C49" s="38"/>
      <c r="D49" s="33"/>
      <c r="E49" s="11" t="s">
        <v>188</v>
      </c>
      <c r="F49" s="27">
        <f>8.95*2.5</f>
        <v>22.375</v>
      </c>
      <c r="G49" s="95"/>
      <c r="H49" s="40"/>
      <c r="I49" s="63"/>
    </row>
    <row r="50" spans="1:9" s="14" customFormat="1" ht="12.75" customHeight="1">
      <c r="A50" s="28"/>
      <c r="B50" s="44"/>
      <c r="C50" s="38"/>
      <c r="D50" s="33"/>
      <c r="E50" s="11" t="s">
        <v>288</v>
      </c>
      <c r="F50" s="27">
        <f>26206.5*0.07</f>
        <v>1834.4550000000002</v>
      </c>
      <c r="G50" s="95"/>
      <c r="H50" s="40"/>
      <c r="I50" s="63"/>
    </row>
    <row r="51" spans="1:9" s="14" customFormat="1" ht="12.75" customHeight="1">
      <c r="A51" s="28"/>
      <c r="B51" s="44"/>
      <c r="C51" s="38"/>
      <c r="D51" s="33"/>
      <c r="E51" s="11" t="s">
        <v>189</v>
      </c>
      <c r="F51" s="27">
        <f xml:space="preserve"> 547.08*0.073</f>
        <v>39.936840000000004</v>
      </c>
      <c r="G51" s="95"/>
      <c r="H51" s="40"/>
      <c r="I51" s="63"/>
    </row>
    <row r="52" spans="1:9" s="14" customFormat="1" ht="12.75" customHeight="1">
      <c r="A52" s="28"/>
      <c r="B52" s="44"/>
      <c r="C52" s="38"/>
      <c r="D52" s="33"/>
      <c r="E52" s="11" t="s">
        <v>190</v>
      </c>
      <c r="F52" s="41">
        <f>4.5*0.23</f>
        <v>1.0350000000000001</v>
      </c>
      <c r="G52" s="95"/>
      <c r="H52" s="40"/>
      <c r="I52" s="63"/>
    </row>
    <row r="53" spans="1:9" s="14" customFormat="1" ht="12.75" customHeight="1">
      <c r="A53" s="28"/>
      <c r="B53" s="44"/>
      <c r="C53" s="38"/>
      <c r="D53" s="33"/>
      <c r="E53" s="102" t="s">
        <v>67</v>
      </c>
      <c r="F53" s="27">
        <f>SUM(F49:F52)</f>
        <v>1897.8018400000003</v>
      </c>
      <c r="G53" s="95"/>
      <c r="H53" s="40"/>
      <c r="I53" s="63"/>
    </row>
    <row r="54" spans="1:9" s="14" customFormat="1" ht="12.75" customHeight="1">
      <c r="A54" s="28"/>
      <c r="B54" s="44"/>
      <c r="C54" s="38"/>
      <c r="D54" s="33"/>
      <c r="E54" s="11" t="s">
        <v>68</v>
      </c>
      <c r="F54" s="89"/>
      <c r="G54" s="95"/>
      <c r="H54" s="40"/>
      <c r="I54" s="63"/>
    </row>
    <row r="55" spans="1:9" s="14" customFormat="1" ht="12.75" customHeight="1">
      <c r="A55" s="28"/>
      <c r="B55" s="44"/>
      <c r="C55" s="38"/>
      <c r="D55" s="33"/>
      <c r="E55" s="11" t="s">
        <v>191</v>
      </c>
      <c r="F55" s="27">
        <f>0.212+0.691+0.266</f>
        <v>1.169</v>
      </c>
      <c r="G55" s="95"/>
      <c r="H55" s="40"/>
      <c r="I55" s="63"/>
    </row>
    <row r="56" spans="1:9" s="14" customFormat="1" ht="12.75" customHeight="1">
      <c r="A56" s="28"/>
      <c r="B56" s="44"/>
      <c r="C56" s="38"/>
      <c r="D56" s="33"/>
      <c r="E56" s="102" t="s">
        <v>91</v>
      </c>
      <c r="F56" s="27">
        <f>SUM(F55:F55)</f>
        <v>1.169</v>
      </c>
      <c r="G56" s="95"/>
      <c r="H56" s="40"/>
      <c r="I56" s="63"/>
    </row>
    <row r="57" spans="1:9" s="14" customFormat="1" ht="12.75" customHeight="1">
      <c r="A57" s="28"/>
      <c r="B57" s="44"/>
      <c r="C57" s="38"/>
      <c r="D57" s="33"/>
      <c r="E57" s="102" t="s">
        <v>69</v>
      </c>
      <c r="F57" s="27">
        <f>F53+F56</f>
        <v>1898.9708400000004</v>
      </c>
      <c r="G57" s="95"/>
      <c r="H57" s="40"/>
      <c r="I57" s="63"/>
    </row>
    <row r="58" spans="1:9" s="14" customFormat="1" ht="25.5">
      <c r="A58" s="28">
        <f>MAX(A$2:A57)+1</f>
        <v>12</v>
      </c>
      <c r="B58" s="35" t="s">
        <v>9</v>
      </c>
      <c r="C58" s="15" t="s">
        <v>34</v>
      </c>
      <c r="D58" s="16"/>
      <c r="E58" s="17" t="s">
        <v>35</v>
      </c>
      <c r="F58" s="17"/>
      <c r="G58" s="71" t="s">
        <v>12</v>
      </c>
      <c r="H58" s="36">
        <f>H59</f>
        <v>52413</v>
      </c>
      <c r="I58" s="63"/>
    </row>
    <row r="59" spans="1:9" s="14" customFormat="1" ht="25.5">
      <c r="A59" s="28"/>
      <c r="B59" s="44"/>
      <c r="C59" s="38"/>
      <c r="D59" s="18" t="s">
        <v>36</v>
      </c>
      <c r="E59" s="19" t="s">
        <v>37</v>
      </c>
      <c r="F59" s="19"/>
      <c r="G59" s="97" t="s">
        <v>12</v>
      </c>
      <c r="H59" s="40">
        <f>ROUND(F70,2)</f>
        <v>52413</v>
      </c>
      <c r="I59" s="63"/>
    </row>
    <row r="60" spans="1:9" s="14" customFormat="1">
      <c r="A60" s="28"/>
      <c r="B60" s="44"/>
      <c r="C60" s="38"/>
      <c r="D60" s="33"/>
      <c r="E60" s="11" t="s">
        <v>92</v>
      </c>
      <c r="F60" s="27"/>
      <c r="G60" s="95"/>
      <c r="H60" s="40"/>
      <c r="I60" s="63"/>
    </row>
    <row r="61" spans="1:9" s="14" customFormat="1">
      <c r="A61" s="28"/>
      <c r="B61" s="44"/>
      <c r="C61" s="38"/>
      <c r="D61" s="33"/>
      <c r="E61" s="11" t="s">
        <v>125</v>
      </c>
      <c r="F61" s="27">
        <f>F23</f>
        <v>383.44</v>
      </c>
      <c r="G61" s="95"/>
      <c r="H61" s="40"/>
      <c r="I61" s="63"/>
    </row>
    <row r="62" spans="1:9" s="14" customFormat="1">
      <c r="A62" s="28"/>
      <c r="B62" s="44"/>
      <c r="C62" s="38"/>
      <c r="D62" s="33"/>
      <c r="E62" s="11" t="s">
        <v>126</v>
      </c>
      <c r="F62" s="27">
        <f>F24</f>
        <v>14426.6</v>
      </c>
      <c r="G62" s="95"/>
      <c r="H62" s="40"/>
      <c r="I62" s="63"/>
    </row>
    <row r="63" spans="1:9" s="14" customFormat="1">
      <c r="A63" s="28"/>
      <c r="B63" s="44"/>
      <c r="C63" s="38"/>
      <c r="D63" s="33"/>
      <c r="E63" s="11" t="s">
        <v>127</v>
      </c>
      <c r="F63" s="41">
        <f>F25</f>
        <v>11396.46</v>
      </c>
      <c r="G63" s="95"/>
      <c r="H63" s="40"/>
      <c r="I63" s="63"/>
    </row>
    <row r="64" spans="1:9" s="14" customFormat="1" ht="12.75" customHeight="1">
      <c r="A64" s="28"/>
      <c r="B64" s="44"/>
      <c r="C64" s="38"/>
      <c r="D64" s="33"/>
      <c r="E64" s="11"/>
      <c r="F64" s="27">
        <f>SUM(F61:F63)</f>
        <v>26206.5</v>
      </c>
      <c r="G64" s="95"/>
      <c r="H64" s="40"/>
      <c r="I64" s="63"/>
    </row>
    <row r="65" spans="1:9" s="14" customFormat="1" ht="12.75" customHeight="1">
      <c r="A65" s="28"/>
      <c r="B65" s="44"/>
      <c r="C65" s="38"/>
      <c r="D65" s="33"/>
      <c r="E65" s="11" t="s">
        <v>172</v>
      </c>
      <c r="F65" s="27"/>
      <c r="G65" s="95"/>
      <c r="H65" s="40"/>
      <c r="I65" s="63"/>
    </row>
    <row r="66" spans="1:9" s="14" customFormat="1" ht="12.75" customHeight="1">
      <c r="A66" s="79"/>
      <c r="B66" s="44"/>
      <c r="C66" s="38"/>
      <c r="D66" s="33"/>
      <c r="E66" s="11" t="s">
        <v>125</v>
      </c>
      <c r="F66" s="27">
        <f>F61</f>
        <v>383.44</v>
      </c>
      <c r="G66" s="95"/>
      <c r="H66" s="40"/>
      <c r="I66" s="63"/>
    </row>
    <row r="67" spans="1:9" s="14" customFormat="1" ht="12.75" customHeight="1">
      <c r="A67" s="79"/>
      <c r="B67" s="44"/>
      <c r="C67" s="38"/>
      <c r="D67" s="33"/>
      <c r="E67" s="11" t="s">
        <v>126</v>
      </c>
      <c r="F67" s="27">
        <f>F62</f>
        <v>14426.6</v>
      </c>
      <c r="G67" s="95"/>
      <c r="H67" s="40"/>
      <c r="I67" s="63"/>
    </row>
    <row r="68" spans="1:9" s="14" customFormat="1" ht="12.75" customHeight="1">
      <c r="A68" s="79"/>
      <c r="B68" s="44"/>
      <c r="C68" s="38"/>
      <c r="D68" s="33"/>
      <c r="E68" s="11" t="s">
        <v>127</v>
      </c>
      <c r="F68" s="41">
        <f>F63</f>
        <v>11396.46</v>
      </c>
      <c r="G68" s="95"/>
      <c r="H68" s="40"/>
      <c r="I68" s="63"/>
    </row>
    <row r="69" spans="1:9" s="14" customFormat="1" ht="12.75" customHeight="1">
      <c r="A69" s="79"/>
      <c r="B69" s="47"/>
      <c r="C69" s="46"/>
      <c r="D69" s="33"/>
      <c r="E69" s="11"/>
      <c r="F69" s="43">
        <f>SUM(F66:F68)</f>
        <v>26206.5</v>
      </c>
      <c r="G69" s="93"/>
      <c r="H69" s="40"/>
      <c r="I69" s="63"/>
    </row>
    <row r="70" spans="1:9" s="14" customFormat="1" ht="12.75" customHeight="1">
      <c r="A70" s="79"/>
      <c r="B70" s="47"/>
      <c r="C70" s="46"/>
      <c r="D70" s="33"/>
      <c r="E70" s="11" t="s">
        <v>185</v>
      </c>
      <c r="F70" s="43">
        <f>F64+F69</f>
        <v>52413</v>
      </c>
      <c r="G70" s="93"/>
      <c r="H70" s="40"/>
      <c r="I70" s="63"/>
    </row>
    <row r="71" spans="1:9" s="14" customFormat="1" ht="25.5">
      <c r="A71" s="28">
        <f>MAX(A$2:A70)+1</f>
        <v>13</v>
      </c>
      <c r="B71" s="35" t="s">
        <v>9</v>
      </c>
      <c r="C71" s="48" t="s">
        <v>193</v>
      </c>
      <c r="D71" s="49"/>
      <c r="E71" s="128" t="s">
        <v>194</v>
      </c>
      <c r="F71" s="129"/>
      <c r="G71" s="71" t="s">
        <v>12</v>
      </c>
      <c r="H71" s="36">
        <f>H72</f>
        <v>556.74</v>
      </c>
      <c r="I71" s="63"/>
    </row>
    <row r="72" spans="1:9" s="14" customFormat="1" ht="25.5">
      <c r="A72" s="79"/>
      <c r="B72" s="47"/>
      <c r="C72" s="51"/>
      <c r="D72" s="52" t="s">
        <v>195</v>
      </c>
      <c r="E72" s="130" t="s">
        <v>196</v>
      </c>
      <c r="F72" s="131"/>
      <c r="G72" s="97" t="s">
        <v>12</v>
      </c>
      <c r="H72" s="40">
        <f>F73</f>
        <v>556.74</v>
      </c>
      <c r="I72" s="63"/>
    </row>
    <row r="73" spans="1:9" s="14" customFormat="1">
      <c r="A73" s="28"/>
      <c r="B73" s="44"/>
      <c r="C73" s="38"/>
      <c r="D73" s="33"/>
      <c r="E73" s="11" t="s">
        <v>260</v>
      </c>
      <c r="F73" s="27">
        <f>292.02+264.72</f>
        <v>556.74</v>
      </c>
      <c r="G73" s="95"/>
      <c r="H73" s="40"/>
      <c r="I73" s="63"/>
    </row>
    <row r="74" spans="1:9" s="14" customFormat="1" ht="25.5">
      <c r="A74" s="28">
        <f>MAX(A$2:A73)+1</f>
        <v>14</v>
      </c>
      <c r="B74" s="35" t="s">
        <v>9</v>
      </c>
      <c r="C74" s="48" t="s">
        <v>134</v>
      </c>
      <c r="D74" s="49"/>
      <c r="E74" s="128" t="s">
        <v>135</v>
      </c>
      <c r="F74" s="129"/>
      <c r="G74" s="50" t="s">
        <v>13</v>
      </c>
      <c r="H74" s="36">
        <f>H75</f>
        <v>89</v>
      </c>
      <c r="I74" s="63"/>
    </row>
    <row r="75" spans="1:9" s="14" customFormat="1" ht="25.5">
      <c r="A75" s="79"/>
      <c r="B75" s="47"/>
      <c r="C75" s="46"/>
      <c r="D75" s="52" t="s">
        <v>136</v>
      </c>
      <c r="E75" s="130" t="s">
        <v>137</v>
      </c>
      <c r="F75" s="131"/>
      <c r="G75" s="53" t="s">
        <v>13</v>
      </c>
      <c r="H75" s="40">
        <f>F78</f>
        <v>89</v>
      </c>
      <c r="I75" s="63"/>
    </row>
    <row r="76" spans="1:9" s="14" customFormat="1" ht="12.75" customHeight="1">
      <c r="A76" s="79"/>
      <c r="B76" s="44"/>
      <c r="C76" s="38"/>
      <c r="D76" s="33"/>
      <c r="E76" s="11" t="s">
        <v>138</v>
      </c>
      <c r="F76" s="27">
        <v>1</v>
      </c>
      <c r="G76" s="95"/>
      <c r="H76" s="40"/>
      <c r="I76" s="63"/>
    </row>
    <row r="77" spans="1:9" s="14" customFormat="1" ht="25.5">
      <c r="A77" s="79"/>
      <c r="B77" s="44"/>
      <c r="C77" s="38"/>
      <c r="D77" s="33"/>
      <c r="E77" s="11" t="s">
        <v>139</v>
      </c>
      <c r="F77" s="41">
        <v>88</v>
      </c>
      <c r="G77" s="95"/>
      <c r="H77" s="40"/>
      <c r="I77" s="63"/>
    </row>
    <row r="78" spans="1:9" s="14" customFormat="1" ht="12.75" customHeight="1">
      <c r="A78" s="79"/>
      <c r="B78" s="44"/>
      <c r="C78" s="38"/>
      <c r="D78" s="33"/>
      <c r="E78" s="11"/>
      <c r="F78" s="27">
        <f>SUM(F76:F77)</f>
        <v>89</v>
      </c>
      <c r="G78" s="95"/>
      <c r="H78" s="40"/>
      <c r="I78" s="63"/>
    </row>
    <row r="79" spans="1:9" s="113" customFormat="1" ht="15">
      <c r="A79" s="105"/>
      <c r="B79" s="121" t="s">
        <v>40</v>
      </c>
      <c r="C79" s="122"/>
      <c r="D79" s="108"/>
      <c r="E79" s="123" t="s">
        <v>257</v>
      </c>
      <c r="F79" s="124"/>
      <c r="G79" s="125"/>
      <c r="H79" s="126"/>
      <c r="I79" s="116"/>
    </row>
    <row r="80" spans="1:9" s="14" customFormat="1" ht="25.5">
      <c r="A80" s="28">
        <f>MAX(A$2:A79)+1</f>
        <v>15</v>
      </c>
      <c r="B80" s="70" t="s">
        <v>40</v>
      </c>
      <c r="C80" s="104" t="s">
        <v>65</v>
      </c>
      <c r="D80" s="16"/>
      <c r="E80" s="17" t="s">
        <v>66</v>
      </c>
      <c r="F80" s="17"/>
      <c r="G80" s="71" t="s">
        <v>12</v>
      </c>
      <c r="H80" s="36">
        <f>H81</f>
        <v>14102.88</v>
      </c>
      <c r="I80" s="63"/>
    </row>
    <row r="81" spans="1:9" s="14" customFormat="1">
      <c r="A81" s="79"/>
      <c r="B81" s="47"/>
      <c r="C81" s="15"/>
      <c r="D81" s="18" t="s">
        <v>65</v>
      </c>
      <c r="E81" s="19" t="s">
        <v>66</v>
      </c>
      <c r="F81" s="68"/>
      <c r="G81" s="103" t="s">
        <v>12</v>
      </c>
      <c r="H81" s="40">
        <f>F84</f>
        <v>14102.88</v>
      </c>
      <c r="I81" s="63"/>
    </row>
    <row r="82" spans="1:9" s="14" customFormat="1">
      <c r="A82" s="28"/>
      <c r="B82" s="61"/>
      <c r="C82" s="46"/>
      <c r="D82" s="33"/>
      <c r="E82" s="11" t="s">
        <v>192</v>
      </c>
      <c r="F82" s="27">
        <v>798.48</v>
      </c>
      <c r="G82" s="96"/>
      <c r="H82" s="36"/>
      <c r="I82" s="63"/>
    </row>
    <row r="83" spans="1:9" s="14" customFormat="1">
      <c r="A83" s="28"/>
      <c r="B83" s="61"/>
      <c r="C83" s="46"/>
      <c r="D83" s="33"/>
      <c r="E83" s="11" t="s">
        <v>140</v>
      </c>
      <c r="F83" s="41">
        <v>13304.4</v>
      </c>
      <c r="G83" s="96"/>
      <c r="H83" s="36"/>
      <c r="I83" s="63"/>
    </row>
    <row r="84" spans="1:9" s="14" customFormat="1">
      <c r="A84" s="28"/>
      <c r="B84" s="61"/>
      <c r="C84" s="46"/>
      <c r="D84" s="33"/>
      <c r="E84" s="11"/>
      <c r="F84" s="43">
        <f>SUM(F82:F83)</f>
        <v>14102.88</v>
      </c>
      <c r="G84" s="96"/>
      <c r="H84" s="36"/>
      <c r="I84" s="63"/>
    </row>
    <row r="85" spans="1:9" s="14" customFormat="1" ht="15">
      <c r="A85" s="28">
        <f>MAX(A$2:A84)+1</f>
        <v>16</v>
      </c>
      <c r="B85" s="70" t="s">
        <v>40</v>
      </c>
      <c r="C85" s="48" t="s">
        <v>201</v>
      </c>
      <c r="D85" s="49"/>
      <c r="E85" s="128" t="s">
        <v>202</v>
      </c>
      <c r="F85" s="129"/>
      <c r="G85" s="50" t="s">
        <v>12</v>
      </c>
      <c r="H85" s="36">
        <f>H86</f>
        <v>13304.4</v>
      </c>
      <c r="I85" s="63"/>
    </row>
    <row r="86" spans="1:9" s="14" customFormat="1">
      <c r="A86" s="28"/>
      <c r="B86" s="61"/>
      <c r="C86" s="51"/>
      <c r="D86" s="52" t="s">
        <v>203</v>
      </c>
      <c r="E86" s="130" t="s">
        <v>204</v>
      </c>
      <c r="F86" s="131"/>
      <c r="G86" s="53" t="s">
        <v>12</v>
      </c>
      <c r="H86" s="40">
        <f>F87</f>
        <v>13304.4</v>
      </c>
      <c r="I86" s="63"/>
    </row>
    <row r="87" spans="1:9" s="14" customFormat="1">
      <c r="A87" s="28"/>
      <c r="B87" s="61"/>
      <c r="C87" s="46"/>
      <c r="D87" s="33"/>
      <c r="E87" s="11" t="s">
        <v>205</v>
      </c>
      <c r="F87" s="43">
        <f>F83</f>
        <v>13304.4</v>
      </c>
      <c r="G87" s="96"/>
      <c r="H87" s="36"/>
      <c r="I87" s="63"/>
    </row>
    <row r="88" spans="1:9" s="14" customFormat="1" ht="12.75" customHeight="1">
      <c r="A88" s="28">
        <f>MAX(A$2:A87)+1</f>
        <v>17</v>
      </c>
      <c r="B88" s="70" t="s">
        <v>40</v>
      </c>
      <c r="C88" s="48" t="s">
        <v>141</v>
      </c>
      <c r="D88" s="49"/>
      <c r="E88" s="128" t="s">
        <v>142</v>
      </c>
      <c r="F88" s="129"/>
      <c r="G88" s="50" t="s">
        <v>12</v>
      </c>
      <c r="H88" s="36">
        <f>H89</f>
        <v>1406.3</v>
      </c>
      <c r="I88" s="63"/>
    </row>
    <row r="89" spans="1:9" s="14" customFormat="1" ht="12.75" customHeight="1">
      <c r="A89" s="79"/>
      <c r="B89" s="47"/>
      <c r="C89" s="51"/>
      <c r="D89" s="52" t="s">
        <v>143</v>
      </c>
      <c r="E89" s="130" t="s">
        <v>144</v>
      </c>
      <c r="F89" s="131"/>
      <c r="G89" s="53" t="s">
        <v>12</v>
      </c>
      <c r="H89" s="40">
        <f>ROUND(F92,2)</f>
        <v>1406.3</v>
      </c>
      <c r="I89" s="63"/>
    </row>
    <row r="90" spans="1:9" s="14" customFormat="1" ht="12.75" customHeight="1">
      <c r="A90" s="28"/>
      <c r="B90" s="61"/>
      <c r="C90" s="46"/>
      <c r="D90" s="33"/>
      <c r="E90" s="11" t="s">
        <v>145</v>
      </c>
      <c r="F90" s="27">
        <f>35*0.5</f>
        <v>17.5</v>
      </c>
      <c r="G90" s="96"/>
      <c r="H90" s="36"/>
      <c r="I90" s="63"/>
    </row>
    <row r="91" spans="1:9" s="14" customFormat="1" ht="12.75" customHeight="1">
      <c r="A91" s="28"/>
      <c r="B91" s="61"/>
      <c r="C91" s="46"/>
      <c r="D91" s="33"/>
      <c r="E91" s="11" t="s">
        <v>81</v>
      </c>
      <c r="F91" s="41">
        <v>1388.8</v>
      </c>
      <c r="G91" s="96"/>
      <c r="H91" s="36"/>
      <c r="I91" s="63"/>
    </row>
    <row r="92" spans="1:9" s="14" customFormat="1" ht="12.75" customHeight="1">
      <c r="A92" s="79"/>
      <c r="B92" s="47"/>
      <c r="C92" s="46"/>
      <c r="D92" s="33"/>
      <c r="E92" s="101"/>
      <c r="F92" s="27">
        <f>SUM(F90:F91)</f>
        <v>1406.3</v>
      </c>
      <c r="G92" s="93"/>
      <c r="H92" s="40"/>
      <c r="I92" s="63"/>
    </row>
    <row r="93" spans="1:9" s="14" customFormat="1" ht="12.75" customHeight="1">
      <c r="A93" s="28">
        <f>MAX(A$2:A92)+1</f>
        <v>18</v>
      </c>
      <c r="B93" s="62" t="s">
        <v>40</v>
      </c>
      <c r="C93" s="15" t="s">
        <v>41</v>
      </c>
      <c r="D93" s="16"/>
      <c r="E93" s="17" t="s">
        <v>42</v>
      </c>
      <c r="F93" s="17"/>
      <c r="G93" s="71" t="s">
        <v>12</v>
      </c>
      <c r="H93" s="36">
        <f>(H94)</f>
        <v>1406.3</v>
      </c>
      <c r="I93" s="63"/>
    </row>
    <row r="94" spans="1:9" s="14" customFormat="1" ht="12.75" customHeight="1">
      <c r="A94" s="28"/>
      <c r="B94" s="56"/>
      <c r="C94" s="20"/>
      <c r="D94" s="18" t="s">
        <v>43</v>
      </c>
      <c r="E94" s="19" t="s">
        <v>44</v>
      </c>
      <c r="F94" s="19"/>
      <c r="G94" s="73" t="s">
        <v>12</v>
      </c>
      <c r="H94" s="40">
        <f>H89</f>
        <v>1406.3</v>
      </c>
      <c r="I94" s="63"/>
    </row>
    <row r="95" spans="1:9" s="14" customFormat="1" ht="25.5">
      <c r="A95" s="28"/>
      <c r="B95" s="62"/>
      <c r="C95" s="46"/>
      <c r="D95" s="33"/>
      <c r="E95" s="11" t="s">
        <v>186</v>
      </c>
      <c r="F95" s="43">
        <f>F92</f>
        <v>1406.3</v>
      </c>
      <c r="G95" s="93"/>
      <c r="H95" s="40"/>
      <c r="I95" s="63"/>
    </row>
    <row r="96" spans="1:9" s="14" customFormat="1" ht="12.75" customHeight="1">
      <c r="A96" s="28">
        <f>MAX(A$2:A95)+1</f>
        <v>19</v>
      </c>
      <c r="B96" s="62" t="s">
        <v>40</v>
      </c>
      <c r="C96" s="48" t="s">
        <v>93</v>
      </c>
      <c r="D96" s="49"/>
      <c r="E96" s="74" t="s">
        <v>94</v>
      </c>
      <c r="F96" s="75"/>
      <c r="G96" s="50" t="s">
        <v>11</v>
      </c>
      <c r="H96" s="36">
        <f>H97</f>
        <v>25</v>
      </c>
      <c r="I96" s="63"/>
    </row>
    <row r="97" spans="1:9" s="14" customFormat="1" ht="12.75" customHeight="1">
      <c r="A97" s="28"/>
      <c r="B97" s="45"/>
      <c r="C97" s="51"/>
      <c r="D97" s="52" t="s">
        <v>95</v>
      </c>
      <c r="E97" s="76" t="s">
        <v>96</v>
      </c>
      <c r="F97" s="77"/>
      <c r="G97" s="53" t="s">
        <v>11</v>
      </c>
      <c r="H97" s="40">
        <v>25</v>
      </c>
      <c r="I97" s="63"/>
    </row>
    <row r="98" spans="1:9" s="14" customFormat="1" ht="12.75" customHeight="1">
      <c r="A98" s="28">
        <f>MAX(A$2:A97)+1</f>
        <v>20</v>
      </c>
      <c r="B98" s="62" t="s">
        <v>40</v>
      </c>
      <c r="C98" s="48" t="s">
        <v>97</v>
      </c>
      <c r="D98" s="49"/>
      <c r="E98" s="74" t="s">
        <v>98</v>
      </c>
      <c r="F98" s="75"/>
      <c r="G98" s="50" t="s">
        <v>11</v>
      </c>
      <c r="H98" s="36">
        <f>H99</f>
        <v>25</v>
      </c>
      <c r="I98" s="63"/>
    </row>
    <row r="99" spans="1:9" s="14" customFormat="1" ht="12.75" customHeight="1">
      <c r="A99" s="28"/>
      <c r="B99" s="45"/>
      <c r="C99" s="51"/>
      <c r="D99" s="52" t="s">
        <v>99</v>
      </c>
      <c r="E99" s="76" t="s">
        <v>100</v>
      </c>
      <c r="F99" s="77"/>
      <c r="G99" s="53" t="s">
        <v>11</v>
      </c>
      <c r="H99" s="40">
        <f>H97</f>
        <v>25</v>
      </c>
      <c r="I99" s="63"/>
    </row>
    <row r="100" spans="1:9" s="14" customFormat="1" ht="12.75" customHeight="1">
      <c r="A100" s="28">
        <f>MAX(A$2:A99)+1</f>
        <v>21</v>
      </c>
      <c r="B100" s="62" t="s">
        <v>40</v>
      </c>
      <c r="C100" s="15" t="s">
        <v>19</v>
      </c>
      <c r="D100" s="16"/>
      <c r="E100" s="17" t="s">
        <v>80</v>
      </c>
      <c r="F100" s="17"/>
      <c r="G100" s="71" t="s">
        <v>10</v>
      </c>
      <c r="H100" s="36">
        <f>H101+H103+H105+H107</f>
        <v>581.65</v>
      </c>
      <c r="I100" s="63"/>
    </row>
    <row r="101" spans="1:9" s="14" customFormat="1" ht="12.75" customHeight="1">
      <c r="A101" s="28"/>
      <c r="B101" s="62"/>
      <c r="C101" s="15"/>
      <c r="D101" s="52" t="s">
        <v>149</v>
      </c>
      <c r="E101" s="130" t="s">
        <v>150</v>
      </c>
      <c r="F101" s="131"/>
      <c r="G101" s="53" t="s">
        <v>10</v>
      </c>
      <c r="H101" s="40">
        <f>F102</f>
        <v>421.89</v>
      </c>
      <c r="I101" s="63"/>
    </row>
    <row r="102" spans="1:9" s="14" customFormat="1" ht="12.75" customHeight="1">
      <c r="A102" s="28"/>
      <c r="B102" s="62"/>
      <c r="C102" s="15"/>
      <c r="D102" s="52"/>
      <c r="E102" s="11" t="s">
        <v>151</v>
      </c>
      <c r="F102" s="43">
        <f>1406.3*0.3</f>
        <v>421.89</v>
      </c>
      <c r="G102" s="53"/>
      <c r="H102" s="40"/>
      <c r="I102" s="63"/>
    </row>
    <row r="103" spans="1:9" s="14" customFormat="1" ht="12.75" customHeight="1">
      <c r="A103" s="28"/>
      <c r="B103" s="62"/>
      <c r="C103" s="15"/>
      <c r="D103" s="52" t="s">
        <v>103</v>
      </c>
      <c r="E103" s="76" t="s">
        <v>104</v>
      </c>
      <c r="F103" s="43"/>
      <c r="G103" s="53" t="s">
        <v>10</v>
      </c>
      <c r="H103" s="40">
        <f>ROUND(F104,2)</f>
        <v>7.07</v>
      </c>
      <c r="I103" s="63"/>
    </row>
    <row r="104" spans="1:9" s="14" customFormat="1" ht="12.75" customHeight="1">
      <c r="A104" s="28"/>
      <c r="B104" s="62"/>
      <c r="C104" s="15"/>
      <c r="D104" s="52"/>
      <c r="E104" s="11" t="s">
        <v>146</v>
      </c>
      <c r="F104" s="43">
        <f>15*0.471</f>
        <v>7.0649999999999995</v>
      </c>
      <c r="G104" s="53"/>
      <c r="H104" s="40"/>
      <c r="I104" s="63"/>
    </row>
    <row r="105" spans="1:9" s="14" customFormat="1" ht="12.75" customHeight="1">
      <c r="A105" s="28"/>
      <c r="B105" s="62"/>
      <c r="C105" s="15"/>
      <c r="D105" s="52" t="s">
        <v>101</v>
      </c>
      <c r="E105" s="76" t="s">
        <v>102</v>
      </c>
      <c r="F105" s="43"/>
      <c r="G105" s="53" t="s">
        <v>10</v>
      </c>
      <c r="H105" s="40">
        <f>ROUND(F106,2)</f>
        <v>12.06</v>
      </c>
      <c r="I105" s="63"/>
    </row>
    <row r="106" spans="1:9" s="14" customFormat="1" ht="12.75" customHeight="1">
      <c r="A106" s="79"/>
      <c r="B106" s="70"/>
      <c r="C106" s="15"/>
      <c r="D106" s="54"/>
      <c r="E106" s="11" t="s">
        <v>147</v>
      </c>
      <c r="F106" s="43">
        <f>15*0.804</f>
        <v>12.06</v>
      </c>
      <c r="G106" s="53"/>
      <c r="H106" s="40"/>
      <c r="I106" s="63"/>
    </row>
    <row r="107" spans="1:9" s="14" customFormat="1" ht="12.75" customHeight="1">
      <c r="A107" s="79"/>
      <c r="B107" s="145"/>
      <c r="C107" s="20"/>
      <c r="D107" s="18" t="s">
        <v>45</v>
      </c>
      <c r="E107" s="19" t="s">
        <v>148</v>
      </c>
      <c r="F107" s="19"/>
      <c r="G107" s="73" t="s">
        <v>10</v>
      </c>
      <c r="H107" s="40">
        <f>ROUND(F108,2)</f>
        <v>140.63</v>
      </c>
      <c r="I107" s="63"/>
    </row>
    <row r="108" spans="1:9">
      <c r="A108" s="79"/>
      <c r="B108" s="44"/>
      <c r="C108" s="46"/>
      <c r="D108" s="33"/>
      <c r="E108" s="11" t="s">
        <v>187</v>
      </c>
      <c r="F108" s="43">
        <f>1406.3*0.1</f>
        <v>140.63</v>
      </c>
      <c r="G108" s="93"/>
      <c r="H108" s="40"/>
    </row>
    <row r="109" spans="1:9" s="113" customFormat="1" ht="15">
      <c r="A109" s="105"/>
      <c r="B109" s="146" t="s">
        <v>20</v>
      </c>
      <c r="C109" s="122"/>
      <c r="D109" s="108"/>
      <c r="E109" s="123" t="s">
        <v>258</v>
      </c>
      <c r="F109" s="124"/>
      <c r="G109" s="125"/>
      <c r="H109" s="126"/>
      <c r="I109" s="116"/>
    </row>
    <row r="110" spans="1:9" s="113" customFormat="1" ht="15">
      <c r="A110" s="79">
        <f>MAX(A$2:A109)+1</f>
        <v>22</v>
      </c>
      <c r="B110" s="70" t="s">
        <v>20</v>
      </c>
      <c r="C110" s="48" t="s">
        <v>264</v>
      </c>
      <c r="D110" s="49"/>
      <c r="E110" s="128" t="s">
        <v>265</v>
      </c>
      <c r="F110" s="129"/>
      <c r="G110" s="50" t="s">
        <v>10</v>
      </c>
      <c r="H110" s="36">
        <f>H111</f>
        <v>134.63999999999999</v>
      </c>
      <c r="I110" s="116"/>
    </row>
    <row r="111" spans="1:9" s="113" customFormat="1" ht="15">
      <c r="A111" s="105"/>
      <c r="B111" s="146"/>
      <c r="C111" s="122"/>
      <c r="D111" s="52" t="s">
        <v>266</v>
      </c>
      <c r="E111" s="130" t="s">
        <v>267</v>
      </c>
      <c r="F111" s="131"/>
      <c r="G111" s="53" t="s">
        <v>10</v>
      </c>
      <c r="H111" s="40">
        <f>F118</f>
        <v>134.63999999999999</v>
      </c>
      <c r="I111" s="116"/>
    </row>
    <row r="112" spans="1:9" s="14" customFormat="1" ht="15">
      <c r="A112" s="28"/>
      <c r="B112" s="62"/>
      <c r="C112" s="46"/>
      <c r="D112" s="33"/>
      <c r="E112" s="11" t="s">
        <v>268</v>
      </c>
      <c r="F112" s="43"/>
      <c r="G112" s="93"/>
      <c r="H112" s="40"/>
      <c r="I112" s="63"/>
    </row>
    <row r="113" spans="1:9" s="14" customFormat="1" ht="15">
      <c r="A113" s="28"/>
      <c r="B113" s="62"/>
      <c r="C113" s="46"/>
      <c r="D113" s="33"/>
      <c r="E113" s="11" t="s">
        <v>269</v>
      </c>
      <c r="F113" s="43">
        <v>83.12</v>
      </c>
      <c r="G113" s="93"/>
      <c r="H113" s="40"/>
      <c r="I113" s="63"/>
    </row>
    <row r="114" spans="1:9" s="14" customFormat="1" ht="15">
      <c r="A114" s="28"/>
      <c r="B114" s="62"/>
      <c r="C114" s="46"/>
      <c r="D114" s="33"/>
      <c r="E114" s="11" t="s">
        <v>270</v>
      </c>
      <c r="F114" s="43">
        <v>12.32</v>
      </c>
      <c r="G114" s="93"/>
      <c r="H114" s="40"/>
      <c r="I114" s="63"/>
    </row>
    <row r="115" spans="1:9" s="14" customFormat="1" ht="15">
      <c r="A115" s="28"/>
      <c r="B115" s="62"/>
      <c r="C115" s="46"/>
      <c r="D115" s="33"/>
      <c r="E115" s="11" t="s">
        <v>271</v>
      </c>
      <c r="F115" s="43">
        <v>6.93</v>
      </c>
      <c r="G115" s="93"/>
      <c r="H115" s="40"/>
      <c r="I115" s="63"/>
    </row>
    <row r="116" spans="1:9" s="14" customFormat="1" ht="15">
      <c r="A116" s="28"/>
      <c r="B116" s="62"/>
      <c r="C116" s="46"/>
      <c r="D116" s="33"/>
      <c r="E116" s="11" t="s">
        <v>272</v>
      </c>
      <c r="F116" s="43">
        <v>16.100000000000001</v>
      </c>
      <c r="G116" s="93"/>
      <c r="H116" s="40"/>
      <c r="I116" s="63"/>
    </row>
    <row r="117" spans="1:9" s="14" customFormat="1" ht="15">
      <c r="A117" s="28"/>
      <c r="B117" s="62"/>
      <c r="C117" s="46"/>
      <c r="D117" s="33"/>
      <c r="E117" s="11" t="s">
        <v>273</v>
      </c>
      <c r="F117" s="41">
        <v>16.170000000000002</v>
      </c>
      <c r="G117" s="93"/>
      <c r="H117" s="40"/>
      <c r="I117" s="63"/>
    </row>
    <row r="118" spans="1:9" s="113" customFormat="1" ht="15">
      <c r="A118" s="105"/>
      <c r="B118" s="146"/>
      <c r="C118" s="122"/>
      <c r="D118" s="108"/>
      <c r="E118" s="123"/>
      <c r="F118" s="43">
        <f>SUM(F113:F117)</f>
        <v>134.63999999999999</v>
      </c>
      <c r="G118" s="125"/>
      <c r="H118" s="126"/>
      <c r="I118" s="116"/>
    </row>
    <row r="119" spans="1:9" s="14" customFormat="1" ht="15">
      <c r="A119" s="79">
        <f>MAX(A$2:A118)+1</f>
        <v>23</v>
      </c>
      <c r="B119" s="70" t="s">
        <v>20</v>
      </c>
      <c r="C119" s="48" t="s">
        <v>274</v>
      </c>
      <c r="D119" s="49"/>
      <c r="E119" s="128" t="s">
        <v>275</v>
      </c>
      <c r="F119" s="129"/>
      <c r="G119" s="50" t="s">
        <v>10</v>
      </c>
      <c r="H119" s="36">
        <f>H120</f>
        <v>134.63999999999999</v>
      </c>
      <c r="I119" s="63"/>
    </row>
    <row r="120" spans="1:9" s="14" customFormat="1" ht="12.75" customHeight="1">
      <c r="A120" s="28"/>
      <c r="B120" s="56"/>
      <c r="C120" s="20"/>
      <c r="D120" s="52" t="s">
        <v>276</v>
      </c>
      <c r="E120" s="130" t="s">
        <v>277</v>
      </c>
      <c r="F120" s="131"/>
      <c r="G120" s="53" t="s">
        <v>10</v>
      </c>
      <c r="H120" s="40">
        <f>F121</f>
        <v>134.63999999999999</v>
      </c>
      <c r="I120" s="63"/>
    </row>
    <row r="121" spans="1:9" s="14" customFormat="1" ht="15">
      <c r="A121" s="79"/>
      <c r="B121" s="145"/>
      <c r="C121" s="20"/>
      <c r="D121" s="18"/>
      <c r="E121" s="11" t="s">
        <v>278</v>
      </c>
      <c r="F121" s="43">
        <f>F118</f>
        <v>134.63999999999999</v>
      </c>
      <c r="G121" s="73"/>
      <c r="H121" s="40"/>
      <c r="I121" s="63"/>
    </row>
    <row r="122" spans="1:9" s="113" customFormat="1" ht="15">
      <c r="A122" s="105"/>
      <c r="B122" s="146" t="s">
        <v>74</v>
      </c>
      <c r="C122" s="122"/>
      <c r="D122" s="108"/>
      <c r="E122" s="123" t="s">
        <v>279</v>
      </c>
      <c r="F122" s="124"/>
      <c r="G122" s="125"/>
      <c r="H122" s="126"/>
      <c r="I122" s="116"/>
    </row>
    <row r="123" spans="1:9" s="14" customFormat="1" ht="12.75" customHeight="1">
      <c r="A123" s="79">
        <f>MAX(A$2:A122)+1</f>
        <v>24</v>
      </c>
      <c r="B123" s="70" t="s">
        <v>74</v>
      </c>
      <c r="C123" s="48" t="s">
        <v>280</v>
      </c>
      <c r="D123" s="49"/>
      <c r="E123" s="128" t="s">
        <v>281</v>
      </c>
      <c r="F123" s="129"/>
      <c r="G123" s="50" t="s">
        <v>10</v>
      </c>
      <c r="H123" s="36">
        <f>H124</f>
        <v>134.63999999999999</v>
      </c>
      <c r="I123" s="63"/>
    </row>
    <row r="124" spans="1:9" s="14" customFormat="1" ht="25.5">
      <c r="A124" s="79"/>
      <c r="B124" s="47"/>
      <c r="C124" s="51"/>
      <c r="D124" s="52" t="s">
        <v>282</v>
      </c>
      <c r="E124" s="130" t="s">
        <v>283</v>
      </c>
      <c r="F124" s="131"/>
      <c r="G124" s="53" t="s">
        <v>10</v>
      </c>
      <c r="H124" s="40">
        <f>F125</f>
        <v>134.63999999999999</v>
      </c>
      <c r="I124" s="63"/>
    </row>
    <row r="125" spans="1:9" s="14" customFormat="1" ht="12.75" customHeight="1">
      <c r="A125" s="79"/>
      <c r="B125" s="47"/>
      <c r="C125" s="51"/>
      <c r="D125" s="52"/>
      <c r="E125" s="11" t="s">
        <v>284</v>
      </c>
      <c r="F125" s="43">
        <f>F121</f>
        <v>134.63999999999999</v>
      </c>
      <c r="G125" s="53"/>
      <c r="H125" s="36"/>
      <c r="I125" s="63"/>
    </row>
    <row r="126" spans="1:9" s="113" customFormat="1" ht="15">
      <c r="A126" s="105"/>
      <c r="B126" s="121" t="s">
        <v>70</v>
      </c>
      <c r="C126" s="122"/>
      <c r="D126" s="108"/>
      <c r="E126" s="123" t="s">
        <v>75</v>
      </c>
      <c r="F126" s="124"/>
      <c r="G126" s="125"/>
      <c r="H126" s="126"/>
      <c r="I126" s="116"/>
    </row>
    <row r="127" spans="1:9" s="63" customFormat="1" ht="25.5">
      <c r="A127" s="28">
        <f>MAX(A$2:A126)+1</f>
        <v>25</v>
      </c>
      <c r="B127" s="55" t="s">
        <v>70</v>
      </c>
      <c r="C127" s="46" t="s">
        <v>248</v>
      </c>
      <c r="D127" s="32"/>
      <c r="E127" s="58" t="s">
        <v>249</v>
      </c>
      <c r="F127" s="42"/>
      <c r="G127" s="96" t="s">
        <v>13</v>
      </c>
      <c r="H127" s="36">
        <f>H128+H130</f>
        <v>873.06999999999994</v>
      </c>
    </row>
    <row r="128" spans="1:9" s="63" customFormat="1" ht="25.5">
      <c r="A128" s="28"/>
      <c r="B128" s="55"/>
      <c r="C128" s="38"/>
      <c r="D128" s="32" t="s">
        <v>252</v>
      </c>
      <c r="E128" s="21" t="s">
        <v>253</v>
      </c>
      <c r="F128" s="42"/>
      <c r="G128" s="93" t="s">
        <v>13</v>
      </c>
      <c r="H128" s="40">
        <f>F129</f>
        <v>556.74</v>
      </c>
    </row>
    <row r="129" spans="1:9" s="14" customFormat="1" ht="12.75" customHeight="1">
      <c r="A129" s="28"/>
      <c r="B129" s="44"/>
      <c r="C129" s="69"/>
      <c r="D129" s="18"/>
      <c r="E129" s="11" t="s">
        <v>254</v>
      </c>
      <c r="F129" s="43">
        <v>556.74</v>
      </c>
      <c r="G129" s="73"/>
      <c r="H129" s="36"/>
      <c r="I129" s="63"/>
    </row>
    <row r="130" spans="1:9" s="63" customFormat="1" ht="25.5">
      <c r="A130" s="80"/>
      <c r="B130" s="57"/>
      <c r="C130" s="144"/>
      <c r="D130" s="32" t="s">
        <v>250</v>
      </c>
      <c r="E130" s="21" t="s">
        <v>251</v>
      </c>
      <c r="F130" s="42"/>
      <c r="G130" s="93" t="s">
        <v>13</v>
      </c>
      <c r="H130" s="40">
        <f>ROUND(F131,2)</f>
        <v>316.33</v>
      </c>
    </row>
    <row r="131" spans="1:9" s="14" customFormat="1" ht="25.5">
      <c r="A131" s="28"/>
      <c r="B131" s="44"/>
      <c r="C131" s="69"/>
      <c r="D131" s="18"/>
      <c r="E131" s="11" t="s">
        <v>263</v>
      </c>
      <c r="F131" s="43">
        <f xml:space="preserve"> 1.25*556.74/2.2</f>
        <v>316.32954545454538</v>
      </c>
      <c r="G131" s="73"/>
      <c r="H131" s="36"/>
      <c r="I131" s="63"/>
    </row>
    <row r="132" spans="1:9" s="14" customFormat="1" ht="25.5">
      <c r="A132" s="28">
        <f>MAX(A$2:A131)+1</f>
        <v>26</v>
      </c>
      <c r="B132" s="55" t="s">
        <v>70</v>
      </c>
      <c r="C132" s="59" t="s">
        <v>38</v>
      </c>
      <c r="D132" s="32"/>
      <c r="E132" s="58" t="s">
        <v>39</v>
      </c>
      <c r="F132" s="42"/>
      <c r="G132" s="96" t="s">
        <v>12</v>
      </c>
      <c r="H132" s="36">
        <f>H133</f>
        <v>628.76</v>
      </c>
      <c r="I132" s="63"/>
    </row>
    <row r="133" spans="1:9" s="14" customFormat="1" ht="25.5">
      <c r="A133" s="81"/>
      <c r="B133" s="44"/>
      <c r="C133" s="38"/>
      <c r="D133" s="60" t="s">
        <v>38</v>
      </c>
      <c r="E133" s="21" t="s">
        <v>39</v>
      </c>
      <c r="F133" s="42"/>
      <c r="G133" s="93" t="s">
        <v>12</v>
      </c>
      <c r="H133" s="40">
        <f>ROUND(F134,2)</f>
        <v>628.76</v>
      </c>
      <c r="I133" s="63"/>
    </row>
    <row r="134" spans="1:9" s="14" customFormat="1" ht="12.75" customHeight="1">
      <c r="A134" s="81"/>
      <c r="B134" s="44"/>
      <c r="C134" s="38"/>
      <c r="D134" s="33"/>
      <c r="E134" s="11" t="s">
        <v>152</v>
      </c>
      <c r="F134" s="27">
        <v>628.76</v>
      </c>
      <c r="G134" s="95"/>
      <c r="H134" s="40"/>
      <c r="I134" s="63"/>
    </row>
    <row r="135" spans="1:9" s="116" customFormat="1" ht="30">
      <c r="A135" s="114"/>
      <c r="B135" s="115" t="s">
        <v>82</v>
      </c>
      <c r="C135" s="107"/>
      <c r="D135" s="108"/>
      <c r="E135" s="109" t="s">
        <v>83</v>
      </c>
      <c r="F135" s="110"/>
      <c r="G135" s="111"/>
      <c r="H135" s="112"/>
    </row>
    <row r="136" spans="1:9" s="14" customFormat="1" ht="12.75" customHeight="1">
      <c r="A136" s="28">
        <f>MAX(A$2:A134)+1</f>
        <v>27</v>
      </c>
      <c r="B136" s="35" t="s">
        <v>82</v>
      </c>
      <c r="C136" s="15" t="s">
        <v>84</v>
      </c>
      <c r="D136" s="64"/>
      <c r="E136" s="17" t="s">
        <v>85</v>
      </c>
      <c r="F136" s="127"/>
      <c r="G136" s="71" t="s">
        <v>10</v>
      </c>
      <c r="H136" s="36">
        <f>H137</f>
        <v>2.64</v>
      </c>
      <c r="I136" s="63"/>
    </row>
    <row r="137" spans="1:9" s="14" customFormat="1">
      <c r="A137" s="79"/>
      <c r="B137" s="47"/>
      <c r="C137" s="20"/>
      <c r="D137" s="100" t="s">
        <v>84</v>
      </c>
      <c r="E137" s="72" t="s">
        <v>85</v>
      </c>
      <c r="F137" s="19"/>
      <c r="G137" s="73" t="s">
        <v>10</v>
      </c>
      <c r="H137" s="40">
        <f>ROUND(F139,2)</f>
        <v>2.64</v>
      </c>
      <c r="I137" s="63"/>
    </row>
    <row r="138" spans="1:9" s="14" customFormat="1" ht="25.5">
      <c r="A138" s="79"/>
      <c r="B138" s="35"/>
      <c r="C138" s="15"/>
      <c r="D138" s="16"/>
      <c r="E138" s="11" t="s">
        <v>154</v>
      </c>
      <c r="F138" s="43"/>
      <c r="G138" s="71"/>
      <c r="H138" s="40"/>
      <c r="I138" s="63"/>
    </row>
    <row r="139" spans="1:9" s="14" customFormat="1" ht="12.75" customHeight="1">
      <c r="A139" s="79"/>
      <c r="B139" s="47"/>
      <c r="C139" s="46"/>
      <c r="D139" s="33"/>
      <c r="E139" s="11" t="s">
        <v>153</v>
      </c>
      <c r="F139" s="43">
        <f>0.55*0.2*0.75*32</f>
        <v>2.6400000000000006</v>
      </c>
      <c r="G139" s="93"/>
      <c r="H139" s="40"/>
      <c r="I139" s="63"/>
    </row>
    <row r="140" spans="1:9" s="113" customFormat="1" ht="30">
      <c r="A140" s="105"/>
      <c r="B140" s="121" t="s">
        <v>71</v>
      </c>
      <c r="C140" s="122"/>
      <c r="D140" s="108"/>
      <c r="E140" s="123" t="s">
        <v>109</v>
      </c>
      <c r="F140" s="124"/>
      <c r="G140" s="125"/>
      <c r="H140" s="126"/>
      <c r="I140" s="116"/>
    </row>
    <row r="141" spans="1:9" s="14" customFormat="1" ht="12.75" customHeight="1">
      <c r="A141" s="28">
        <f>MAX(A$2:A140)+1</f>
        <v>28</v>
      </c>
      <c r="B141" s="35" t="s">
        <v>71</v>
      </c>
      <c r="C141" s="48" t="s">
        <v>86</v>
      </c>
      <c r="D141" s="49"/>
      <c r="E141" s="17" t="s">
        <v>87</v>
      </c>
      <c r="F141" s="75"/>
      <c r="G141" s="50" t="s">
        <v>13</v>
      </c>
      <c r="H141" s="36">
        <f>H142</f>
        <v>11.76</v>
      </c>
      <c r="I141" s="63"/>
    </row>
    <row r="142" spans="1:9" s="14" customFormat="1" ht="12.75" customHeight="1">
      <c r="A142" s="79"/>
      <c r="B142" s="47"/>
      <c r="C142" s="46"/>
      <c r="D142" s="52" t="s">
        <v>88</v>
      </c>
      <c r="E142" s="19" t="s">
        <v>89</v>
      </c>
      <c r="F142" s="77"/>
      <c r="G142" s="53" t="s">
        <v>13</v>
      </c>
      <c r="H142" s="40">
        <f>ROUND(F143,2)</f>
        <v>11.76</v>
      </c>
      <c r="I142" s="63"/>
    </row>
    <row r="143" spans="1:9" s="14" customFormat="1" ht="25.5">
      <c r="A143" s="79"/>
      <c r="B143" s="47"/>
      <c r="C143" s="46"/>
      <c r="D143" s="32"/>
      <c r="E143" s="11" t="s">
        <v>170</v>
      </c>
      <c r="F143" s="43">
        <f>2*(0.47+5.41)</f>
        <v>11.76</v>
      </c>
      <c r="G143" s="96"/>
      <c r="H143" s="36"/>
      <c r="I143" s="63"/>
    </row>
    <row r="144" spans="1:9" s="14" customFormat="1" ht="15">
      <c r="A144" s="12">
        <f>MAX(A$2:A143)+1</f>
        <v>29</v>
      </c>
      <c r="B144" s="35" t="s">
        <v>71</v>
      </c>
      <c r="C144" s="48" t="s">
        <v>105</v>
      </c>
      <c r="D144" s="49"/>
      <c r="E144" s="74" t="s">
        <v>106</v>
      </c>
      <c r="F144" s="75"/>
      <c r="G144" s="50" t="s">
        <v>13</v>
      </c>
      <c r="H144" s="36">
        <f>H145</f>
        <v>28.38</v>
      </c>
      <c r="I144" s="63"/>
    </row>
    <row r="145" spans="1:9" s="14" customFormat="1">
      <c r="A145" s="79"/>
      <c r="B145" s="47"/>
      <c r="C145" s="51"/>
      <c r="D145" s="52" t="s">
        <v>107</v>
      </c>
      <c r="E145" s="76" t="s">
        <v>108</v>
      </c>
      <c r="F145" s="77"/>
      <c r="G145" s="53" t="s">
        <v>13</v>
      </c>
      <c r="H145" s="40">
        <f>F149</f>
        <v>28.38</v>
      </c>
      <c r="I145" s="63"/>
    </row>
    <row r="146" spans="1:9" s="14" customFormat="1">
      <c r="A146" s="79"/>
      <c r="B146" s="47"/>
      <c r="C146" s="51"/>
      <c r="D146" s="54"/>
      <c r="E146" s="11" t="s">
        <v>155</v>
      </c>
      <c r="F146" s="77"/>
      <c r="G146" s="53"/>
      <c r="H146" s="40"/>
      <c r="I146" s="63"/>
    </row>
    <row r="147" spans="1:9" s="14" customFormat="1" ht="12.75" customHeight="1">
      <c r="A147" s="79"/>
      <c r="B147" s="47"/>
      <c r="C147" s="46"/>
      <c r="D147" s="33"/>
      <c r="E147" s="11" t="s">
        <v>289</v>
      </c>
      <c r="F147" s="43">
        <f>F42</f>
        <v>4.5</v>
      </c>
      <c r="G147" s="96"/>
      <c r="H147" s="36"/>
      <c r="I147" s="63"/>
    </row>
    <row r="148" spans="1:9" s="14" customFormat="1" ht="12.75" customHeight="1">
      <c r="A148" s="79"/>
      <c r="B148" s="47"/>
      <c r="C148" s="46"/>
      <c r="D148" s="33"/>
      <c r="E148" s="11" t="s">
        <v>171</v>
      </c>
      <c r="F148" s="41">
        <v>23.88</v>
      </c>
      <c r="G148" s="96"/>
      <c r="H148" s="36"/>
      <c r="I148" s="63"/>
    </row>
    <row r="149" spans="1:9" s="14" customFormat="1" ht="12.75" customHeight="1">
      <c r="A149" s="79"/>
      <c r="B149" s="47"/>
      <c r="C149" s="46"/>
      <c r="D149" s="33"/>
      <c r="E149" s="11"/>
      <c r="F149" s="43">
        <f>SUM(F147:F148)</f>
        <v>28.38</v>
      </c>
      <c r="G149" s="96"/>
      <c r="H149" s="36"/>
      <c r="I149" s="63"/>
    </row>
    <row r="150" spans="1:9" s="14" customFormat="1" ht="12.75" customHeight="1">
      <c r="A150" s="12">
        <f>MAX(A$2:A149)+1</f>
        <v>30</v>
      </c>
      <c r="B150" s="35" t="s">
        <v>71</v>
      </c>
      <c r="C150" s="48" t="s">
        <v>176</v>
      </c>
      <c r="D150" s="49"/>
      <c r="E150" s="128" t="s">
        <v>177</v>
      </c>
      <c r="F150" s="129"/>
      <c r="G150" s="50" t="s">
        <v>12</v>
      </c>
      <c r="H150" s="36">
        <f>H151</f>
        <v>19.8</v>
      </c>
      <c r="I150" s="63"/>
    </row>
    <row r="151" spans="1:9" s="14" customFormat="1" ht="12.75" customHeight="1">
      <c r="A151" s="79"/>
      <c r="B151" s="47"/>
      <c r="C151" s="51"/>
      <c r="D151" s="52" t="s">
        <v>176</v>
      </c>
      <c r="E151" s="76" t="s">
        <v>177</v>
      </c>
      <c r="F151" s="77"/>
      <c r="G151" s="53" t="s">
        <v>12</v>
      </c>
      <c r="H151" s="40">
        <f>F152</f>
        <v>19.8</v>
      </c>
      <c r="I151" s="63"/>
    </row>
    <row r="152" spans="1:9" s="14" customFormat="1" ht="12.75" customHeight="1">
      <c r="A152" s="79"/>
      <c r="B152" s="47"/>
      <c r="C152" s="46"/>
      <c r="D152" s="33"/>
      <c r="E152" s="11" t="s">
        <v>178</v>
      </c>
      <c r="F152" s="43">
        <f>18*1.1</f>
        <v>19.8</v>
      </c>
      <c r="G152" s="96"/>
      <c r="H152" s="36"/>
      <c r="I152" s="63"/>
    </row>
    <row r="153" spans="1:9" s="113" customFormat="1" ht="30">
      <c r="A153" s="117"/>
      <c r="B153" s="118" t="s">
        <v>72</v>
      </c>
      <c r="C153" s="118"/>
      <c r="D153" s="119"/>
      <c r="E153" s="120" t="s">
        <v>113</v>
      </c>
      <c r="F153" s="110"/>
      <c r="G153" s="111"/>
      <c r="H153" s="112"/>
      <c r="I153" s="116"/>
    </row>
    <row r="154" spans="1:9" s="113" customFormat="1" ht="15">
      <c r="A154" s="12">
        <f>MAX(A$2:A153)+1</f>
        <v>31</v>
      </c>
      <c r="B154" s="62" t="s">
        <v>72</v>
      </c>
      <c r="C154" s="48" t="s">
        <v>156</v>
      </c>
      <c r="D154" s="49"/>
      <c r="E154" s="128" t="s">
        <v>157</v>
      </c>
      <c r="F154" s="129"/>
      <c r="G154" s="50" t="s">
        <v>10</v>
      </c>
      <c r="H154" s="112">
        <f>H155</f>
        <v>4.18</v>
      </c>
      <c r="I154" s="116"/>
    </row>
    <row r="155" spans="1:9" s="113" customFormat="1" ht="26.25">
      <c r="A155" s="117"/>
      <c r="B155" s="132"/>
      <c r="C155" s="118"/>
      <c r="D155" s="67" t="s">
        <v>158</v>
      </c>
      <c r="E155" s="133" t="s">
        <v>159</v>
      </c>
      <c r="F155" s="133"/>
      <c r="G155" s="83" t="s">
        <v>10</v>
      </c>
      <c r="H155" s="134">
        <f>ROUND(F156,2)</f>
        <v>4.18</v>
      </c>
      <c r="I155" s="116"/>
    </row>
    <row r="156" spans="1:9" s="14" customFormat="1" ht="12.75" customHeight="1">
      <c r="A156" s="79"/>
      <c r="B156" s="44"/>
      <c r="C156" s="46"/>
      <c r="D156" s="18"/>
      <c r="E156" s="11" t="s">
        <v>160</v>
      </c>
      <c r="F156" s="43">
        <f>1.67*1.25*2</f>
        <v>4.1749999999999998</v>
      </c>
      <c r="G156" s="73"/>
      <c r="H156" s="40"/>
      <c r="I156" s="63"/>
    </row>
    <row r="157" spans="1:9" s="14" customFormat="1" ht="12.75" customHeight="1">
      <c r="A157" s="13">
        <f>MAX(A$2:A156)+1</f>
        <v>32</v>
      </c>
      <c r="B157" s="70" t="s">
        <v>72</v>
      </c>
      <c r="C157" s="48" t="s">
        <v>161</v>
      </c>
      <c r="D157" s="49"/>
      <c r="E157" s="128" t="s">
        <v>162</v>
      </c>
      <c r="F157" s="129"/>
      <c r="G157" s="50" t="s">
        <v>12</v>
      </c>
      <c r="H157" s="36">
        <f>H158</f>
        <v>6.68</v>
      </c>
      <c r="I157" s="63"/>
    </row>
    <row r="158" spans="1:9" s="14" customFormat="1" ht="12.75" customHeight="1">
      <c r="A158" s="79"/>
      <c r="B158" s="44"/>
      <c r="C158" s="51"/>
      <c r="D158" s="52" t="s">
        <v>163</v>
      </c>
      <c r="E158" s="130" t="s">
        <v>164</v>
      </c>
      <c r="F158" s="131"/>
      <c r="G158" s="53" t="s">
        <v>12</v>
      </c>
      <c r="H158" s="40">
        <f>ROUND(F159,2)</f>
        <v>6.68</v>
      </c>
      <c r="I158" s="63"/>
    </row>
    <row r="159" spans="1:9" s="14" customFormat="1" ht="12.75" customHeight="1">
      <c r="A159" s="79"/>
      <c r="B159" s="44"/>
      <c r="C159" s="46"/>
      <c r="D159" s="18"/>
      <c r="E159" s="11" t="s">
        <v>165</v>
      </c>
      <c r="F159" s="43">
        <f>1.67*4</f>
        <v>6.68</v>
      </c>
      <c r="G159" s="73"/>
      <c r="H159" s="40"/>
      <c r="I159" s="63"/>
    </row>
    <row r="160" spans="1:9" s="14" customFormat="1" ht="25.5">
      <c r="A160" s="13">
        <f>MAX(A$2:A159)+1</f>
        <v>33</v>
      </c>
      <c r="B160" s="70" t="s">
        <v>72</v>
      </c>
      <c r="C160" s="15" t="s">
        <v>46</v>
      </c>
      <c r="D160" s="16"/>
      <c r="E160" s="17" t="s">
        <v>47</v>
      </c>
      <c r="F160" s="17"/>
      <c r="G160" s="71" t="s">
        <v>10</v>
      </c>
      <c r="H160" s="36">
        <f>H161</f>
        <v>1.39</v>
      </c>
      <c r="I160" s="63"/>
    </row>
    <row r="161" spans="1:9" s="14" customFormat="1" ht="25.5">
      <c r="A161" s="13"/>
      <c r="B161" s="70"/>
      <c r="C161" s="15"/>
      <c r="D161" s="67" t="s">
        <v>166</v>
      </c>
      <c r="E161" s="135" t="s">
        <v>167</v>
      </c>
      <c r="F161" s="133"/>
      <c r="G161" s="83" t="s">
        <v>10</v>
      </c>
      <c r="H161" s="40">
        <f>ROUND(F162,2)</f>
        <v>1.39</v>
      </c>
      <c r="I161" s="63"/>
    </row>
    <row r="162" spans="1:9" s="14" customFormat="1" ht="12.75" customHeight="1">
      <c r="A162" s="79"/>
      <c r="B162" s="44"/>
      <c r="C162" s="46"/>
      <c r="D162" s="18"/>
      <c r="E162" s="11" t="s">
        <v>168</v>
      </c>
      <c r="F162" s="43">
        <f>0.48*1.45*2</f>
        <v>1.3919999999999999</v>
      </c>
      <c r="G162" s="73"/>
      <c r="H162" s="40"/>
      <c r="I162" s="63"/>
    </row>
    <row r="163" spans="1:9" s="14" customFormat="1" ht="25.5">
      <c r="A163" s="12">
        <f>MAX(A$2:A162)+1</f>
        <v>34</v>
      </c>
      <c r="B163" s="70" t="s">
        <v>72</v>
      </c>
      <c r="C163" s="15" t="s">
        <v>48</v>
      </c>
      <c r="D163" s="16"/>
      <c r="E163" s="17" t="s">
        <v>49</v>
      </c>
      <c r="F163" s="17"/>
      <c r="G163" s="71" t="s">
        <v>12</v>
      </c>
      <c r="H163" s="36">
        <f>H164</f>
        <v>1.92</v>
      </c>
      <c r="I163" s="63"/>
    </row>
    <row r="164" spans="1:9" s="14" customFormat="1" ht="25.5">
      <c r="A164" s="13"/>
      <c r="B164" s="47"/>
      <c r="C164" s="20"/>
      <c r="D164" s="18" t="s">
        <v>50</v>
      </c>
      <c r="E164" s="19" t="s">
        <v>51</v>
      </c>
      <c r="F164" s="19"/>
      <c r="G164" s="73" t="s">
        <v>12</v>
      </c>
      <c r="H164" s="40">
        <f>ROUND(F165,2)</f>
        <v>1.92</v>
      </c>
      <c r="I164" s="63"/>
    </row>
    <row r="165" spans="1:9" s="14" customFormat="1">
      <c r="A165" s="13"/>
      <c r="B165" s="47"/>
      <c r="C165" s="46"/>
      <c r="D165" s="32"/>
      <c r="E165" s="11" t="s">
        <v>169</v>
      </c>
      <c r="F165" s="43">
        <f>0.48*4</f>
        <v>1.92</v>
      </c>
      <c r="G165" s="96"/>
      <c r="H165" s="36"/>
      <c r="I165" s="63"/>
    </row>
    <row r="166" spans="1:9" s="14" customFormat="1" ht="12.75" customHeight="1">
      <c r="A166" s="12">
        <f>MAX(A$2:A165)+1</f>
        <v>35</v>
      </c>
      <c r="B166" s="70" t="s">
        <v>72</v>
      </c>
      <c r="C166" s="48" t="s">
        <v>76</v>
      </c>
      <c r="D166" s="49"/>
      <c r="E166" s="17" t="s">
        <v>77</v>
      </c>
      <c r="F166" s="75"/>
      <c r="G166" s="50" t="s">
        <v>12</v>
      </c>
      <c r="H166" s="36">
        <f>H167</f>
        <v>397.2</v>
      </c>
      <c r="I166" s="63"/>
    </row>
    <row r="167" spans="1:9" s="14" customFormat="1" ht="25.5">
      <c r="A167" s="13"/>
      <c r="B167" s="44"/>
      <c r="C167" s="51"/>
      <c r="D167" s="52" t="s">
        <v>78</v>
      </c>
      <c r="E167" s="19" t="s">
        <v>79</v>
      </c>
      <c r="F167" s="77"/>
      <c r="G167" s="53" t="s">
        <v>12</v>
      </c>
      <c r="H167" s="40">
        <f>ROUND(F171,2)</f>
        <v>397.2</v>
      </c>
      <c r="I167" s="63"/>
    </row>
    <row r="168" spans="1:9" s="14" customFormat="1" ht="25.5">
      <c r="A168" s="13"/>
      <c r="B168" s="44"/>
      <c r="C168" s="46"/>
      <c r="D168" s="33"/>
      <c r="E168" s="11" t="s">
        <v>181</v>
      </c>
      <c r="F168" s="43"/>
      <c r="G168" s="96"/>
      <c r="H168" s="36"/>
      <c r="I168" s="63"/>
    </row>
    <row r="169" spans="1:9" s="14" customFormat="1" ht="12.75" customHeight="1">
      <c r="A169" s="13"/>
      <c r="B169" s="44"/>
      <c r="C169" s="46"/>
      <c r="D169" s="33"/>
      <c r="E169" s="11" t="s">
        <v>179</v>
      </c>
      <c r="F169" s="136">
        <f>700*1.12*0.3</f>
        <v>235.20000000000002</v>
      </c>
      <c r="G169" s="96"/>
      <c r="H169" s="36"/>
      <c r="I169" s="63"/>
    </row>
    <row r="170" spans="1:9" s="14" customFormat="1" ht="12.75" customHeight="1">
      <c r="A170" s="13"/>
      <c r="B170" s="44"/>
      <c r="C170" s="46"/>
      <c r="D170" s="33"/>
      <c r="E170" s="11" t="s">
        <v>180</v>
      </c>
      <c r="F170" s="137">
        <f>540*0.3</f>
        <v>162</v>
      </c>
      <c r="G170" s="96"/>
      <c r="H170" s="36"/>
      <c r="I170" s="63"/>
    </row>
    <row r="171" spans="1:9" s="14" customFormat="1">
      <c r="A171" s="13"/>
      <c r="B171" s="44"/>
      <c r="C171" s="46"/>
      <c r="D171" s="33"/>
      <c r="E171" s="11"/>
      <c r="F171" s="43">
        <f>SUM(F169:F170)</f>
        <v>397.20000000000005</v>
      </c>
      <c r="G171" s="96"/>
      <c r="H171" s="36"/>
      <c r="I171" s="63"/>
    </row>
    <row r="172" spans="1:9" s="113" customFormat="1" ht="15">
      <c r="A172" s="105"/>
      <c r="B172" s="118" t="s">
        <v>112</v>
      </c>
      <c r="C172" s="118"/>
      <c r="D172" s="119"/>
      <c r="E172" s="120" t="s">
        <v>114</v>
      </c>
      <c r="F172" s="110"/>
      <c r="G172" s="111"/>
      <c r="H172" s="112"/>
      <c r="I172" s="116"/>
    </row>
    <row r="173" spans="1:9" s="113" customFormat="1" ht="25.5">
      <c r="A173" s="12">
        <f>MAX(A$2:A172)+1</f>
        <v>36</v>
      </c>
      <c r="B173" s="35" t="s">
        <v>112</v>
      </c>
      <c r="C173" s="15" t="s">
        <v>212</v>
      </c>
      <c r="D173" s="64"/>
      <c r="E173" s="139" t="s">
        <v>213</v>
      </c>
      <c r="F173" s="129"/>
      <c r="G173" s="50" t="s">
        <v>12</v>
      </c>
      <c r="H173" s="36">
        <f>H174</f>
        <v>11384.55</v>
      </c>
      <c r="I173" s="116"/>
    </row>
    <row r="174" spans="1:9" s="113" customFormat="1" ht="25.5">
      <c r="A174" s="105"/>
      <c r="B174" s="138"/>
      <c r="C174" s="15"/>
      <c r="D174" s="141" t="s">
        <v>214</v>
      </c>
      <c r="E174" s="142" t="s">
        <v>215</v>
      </c>
      <c r="F174" s="140"/>
      <c r="G174" s="73" t="s">
        <v>12</v>
      </c>
      <c r="H174" s="40">
        <f>F175</f>
        <v>11384.55</v>
      </c>
      <c r="I174" s="116"/>
    </row>
    <row r="175" spans="1:9" s="14" customFormat="1" ht="12.75" customHeight="1">
      <c r="A175" s="13"/>
      <c r="B175" s="47"/>
      <c r="C175" s="46"/>
      <c r="D175" s="18"/>
      <c r="E175" s="11" t="s">
        <v>220</v>
      </c>
      <c r="F175" s="43">
        <v>11384.55</v>
      </c>
      <c r="G175" s="73"/>
      <c r="H175" s="40"/>
      <c r="I175" s="63"/>
    </row>
    <row r="176" spans="1:9" s="113" customFormat="1" ht="25.5">
      <c r="A176" s="12">
        <f>MAX(A$2:A175)+1</f>
        <v>37</v>
      </c>
      <c r="B176" s="35" t="s">
        <v>112</v>
      </c>
      <c r="C176" s="15" t="s">
        <v>208</v>
      </c>
      <c r="D176" s="64"/>
      <c r="E176" s="139" t="s">
        <v>209</v>
      </c>
      <c r="F176" s="140"/>
      <c r="G176" s="71" t="s">
        <v>12</v>
      </c>
      <c r="H176" s="36">
        <f>H177</f>
        <v>384.04</v>
      </c>
      <c r="I176" s="116"/>
    </row>
    <row r="177" spans="1:9" s="113" customFormat="1" ht="25.5">
      <c r="A177" s="105"/>
      <c r="B177" s="138"/>
      <c r="C177" s="15"/>
      <c r="D177" s="141" t="s">
        <v>210</v>
      </c>
      <c r="E177" s="142" t="s">
        <v>211</v>
      </c>
      <c r="F177" s="140"/>
      <c r="G177" s="73" t="s">
        <v>12</v>
      </c>
      <c r="H177" s="40">
        <f>F178</f>
        <v>384.04</v>
      </c>
      <c r="I177" s="116"/>
    </row>
    <row r="178" spans="1:9" s="14" customFormat="1" ht="12.75" customHeight="1">
      <c r="A178" s="13"/>
      <c r="B178" s="47"/>
      <c r="C178" s="46"/>
      <c r="D178" s="18"/>
      <c r="E178" s="11" t="s">
        <v>220</v>
      </c>
      <c r="F178" s="43">
        <v>384.04</v>
      </c>
      <c r="G178" s="73"/>
      <c r="H178" s="40"/>
      <c r="I178" s="63"/>
    </row>
    <row r="179" spans="1:9" s="14" customFormat="1" ht="25.5">
      <c r="A179" s="12">
        <f>MAX(A$2:A178)+1</f>
        <v>38</v>
      </c>
      <c r="B179" s="35" t="s">
        <v>112</v>
      </c>
      <c r="C179" s="15" t="s">
        <v>54</v>
      </c>
      <c r="D179" s="16"/>
      <c r="E179" s="17" t="s">
        <v>55</v>
      </c>
      <c r="F179" s="17"/>
      <c r="G179" s="71" t="s">
        <v>10</v>
      </c>
      <c r="H179" s="36">
        <f>H180</f>
        <v>392.93580000000003</v>
      </c>
      <c r="I179" s="63"/>
    </row>
    <row r="180" spans="1:9" s="14" customFormat="1" ht="25.5">
      <c r="A180" s="13"/>
      <c r="B180" s="47"/>
      <c r="C180" s="46"/>
      <c r="D180" s="18" t="s">
        <v>54</v>
      </c>
      <c r="E180" s="19" t="s">
        <v>55</v>
      </c>
      <c r="F180" s="19"/>
      <c r="G180" s="73" t="s">
        <v>10</v>
      </c>
      <c r="H180" s="40">
        <f>F185</f>
        <v>392.93580000000003</v>
      </c>
      <c r="I180" s="63"/>
    </row>
    <row r="181" spans="1:9" s="14" customFormat="1" ht="12.75" customHeight="1">
      <c r="A181" s="13"/>
      <c r="B181" s="47"/>
      <c r="C181" s="46"/>
      <c r="D181" s="18"/>
      <c r="E181" s="11" t="s">
        <v>290</v>
      </c>
      <c r="F181" s="43">
        <f>149.5*0.02</f>
        <v>2.99</v>
      </c>
      <c r="G181" s="73"/>
      <c r="H181" s="40"/>
      <c r="I181" s="63"/>
    </row>
    <row r="182" spans="1:9" s="14" customFormat="1" ht="12.75" customHeight="1">
      <c r="A182" s="13"/>
      <c r="B182" s="47"/>
      <c r="C182" s="46"/>
      <c r="D182" s="18"/>
      <c r="E182" s="11" t="s">
        <v>291</v>
      </c>
      <c r="F182" s="136">
        <f>8628.19*0.03</f>
        <v>258.84570000000002</v>
      </c>
      <c r="G182" s="73"/>
      <c r="H182" s="40"/>
      <c r="I182" s="63"/>
    </row>
    <row r="183" spans="1:9" s="14" customFormat="1" ht="25.5">
      <c r="A183" s="13"/>
      <c r="B183" s="47"/>
      <c r="C183" s="46"/>
      <c r="D183" s="18"/>
      <c r="E183" s="11" t="s">
        <v>292</v>
      </c>
      <c r="F183" s="136">
        <f>2575.06*0.05</f>
        <v>128.75300000000001</v>
      </c>
      <c r="G183" s="73"/>
      <c r="H183" s="40"/>
      <c r="I183" s="63"/>
    </row>
    <row r="184" spans="1:9" s="14" customFormat="1">
      <c r="A184" s="13"/>
      <c r="B184" s="47"/>
      <c r="C184" s="46"/>
      <c r="D184" s="18"/>
      <c r="E184" s="11" t="s">
        <v>293</v>
      </c>
      <c r="F184" s="137">
        <f>33.53*0.07</f>
        <v>2.3471000000000002</v>
      </c>
      <c r="G184" s="73"/>
      <c r="H184" s="40"/>
      <c r="I184" s="63"/>
    </row>
    <row r="185" spans="1:9" s="14" customFormat="1">
      <c r="A185" s="13"/>
      <c r="B185" s="47"/>
      <c r="C185" s="46"/>
      <c r="D185" s="18"/>
      <c r="E185" s="11"/>
      <c r="F185" s="136">
        <f>SUM(F181:F184)</f>
        <v>392.93580000000003</v>
      </c>
      <c r="G185" s="73"/>
      <c r="H185" s="40"/>
      <c r="I185" s="63"/>
    </row>
    <row r="186" spans="1:9" s="14" customFormat="1" ht="25.5">
      <c r="A186" s="12">
        <f>MAX(A$2:A185)+1</f>
        <v>39</v>
      </c>
      <c r="B186" s="35" t="s">
        <v>112</v>
      </c>
      <c r="C186" s="15" t="s">
        <v>52</v>
      </c>
      <c r="D186" s="16"/>
      <c r="E186" s="17" t="s">
        <v>53</v>
      </c>
      <c r="F186" s="17"/>
      <c r="G186" s="71" t="s">
        <v>10</v>
      </c>
      <c r="H186" s="36">
        <f>H187</f>
        <v>10.617999999999999</v>
      </c>
      <c r="I186" s="63"/>
    </row>
    <row r="187" spans="1:9" s="14" customFormat="1" ht="25.5">
      <c r="A187" s="13"/>
      <c r="B187" s="47"/>
      <c r="C187" s="46"/>
      <c r="D187" s="18" t="s">
        <v>52</v>
      </c>
      <c r="E187" s="19" t="s">
        <v>53</v>
      </c>
      <c r="F187" s="19"/>
      <c r="G187" s="73" t="s">
        <v>10</v>
      </c>
      <c r="H187" s="40">
        <f>F191</f>
        <v>10.617999999999999</v>
      </c>
      <c r="I187" s="63"/>
    </row>
    <row r="188" spans="1:9" s="14" customFormat="1" ht="12.75" customHeight="1">
      <c r="A188" s="13"/>
      <c r="B188" s="47"/>
      <c r="C188" s="46"/>
      <c r="D188" s="18"/>
      <c r="E188" s="11" t="s">
        <v>294</v>
      </c>
      <c r="F188" s="43">
        <f>219.69*0.02</f>
        <v>4.3937999999999997</v>
      </c>
      <c r="G188" s="73"/>
      <c r="H188" s="40"/>
      <c r="I188" s="63"/>
    </row>
    <row r="189" spans="1:9" s="14" customFormat="1">
      <c r="A189" s="13"/>
      <c r="B189" s="47"/>
      <c r="C189" s="46"/>
      <c r="D189" s="32"/>
      <c r="E189" s="11" t="s">
        <v>295</v>
      </c>
      <c r="F189" s="43">
        <f>73.23*0.05</f>
        <v>3.6615000000000002</v>
      </c>
      <c r="G189" s="96"/>
      <c r="H189" s="36"/>
      <c r="I189" s="63"/>
    </row>
    <row r="190" spans="1:9" s="14" customFormat="1">
      <c r="A190" s="13"/>
      <c r="B190" s="47"/>
      <c r="C190" s="46"/>
      <c r="D190" s="32"/>
      <c r="E190" s="11" t="s">
        <v>296</v>
      </c>
      <c r="F190" s="41">
        <f>36.61*0.07</f>
        <v>2.5627000000000004</v>
      </c>
      <c r="G190" s="96"/>
      <c r="H190" s="36"/>
      <c r="I190" s="63"/>
    </row>
    <row r="191" spans="1:9" s="14" customFormat="1">
      <c r="A191" s="13"/>
      <c r="B191" s="47"/>
      <c r="C191" s="46"/>
      <c r="D191" s="32"/>
      <c r="E191" s="11"/>
      <c r="F191" s="43">
        <f>SUM(F188:F190)</f>
        <v>10.617999999999999</v>
      </c>
      <c r="G191" s="96"/>
      <c r="H191" s="36"/>
      <c r="I191" s="63"/>
    </row>
    <row r="192" spans="1:9" s="14" customFormat="1" ht="25.5">
      <c r="A192" s="12">
        <f>MAX(A$2:A191)+1</f>
        <v>40</v>
      </c>
      <c r="B192" s="35" t="s">
        <v>112</v>
      </c>
      <c r="C192" s="48" t="s">
        <v>206</v>
      </c>
      <c r="D192" s="49"/>
      <c r="E192" s="128" t="s">
        <v>207</v>
      </c>
      <c r="F192" s="17"/>
      <c r="G192" s="71" t="s">
        <v>10</v>
      </c>
      <c r="H192" s="36">
        <f>H193</f>
        <v>284.20960000000002</v>
      </c>
      <c r="I192" s="63"/>
    </row>
    <row r="193" spans="1:9" s="14" customFormat="1" ht="25.5">
      <c r="A193" s="13"/>
      <c r="B193" s="47"/>
      <c r="C193" s="46"/>
      <c r="D193" s="18" t="s">
        <v>206</v>
      </c>
      <c r="E193" s="19" t="s">
        <v>207</v>
      </c>
      <c r="F193" s="19"/>
      <c r="G193" s="73" t="s">
        <v>10</v>
      </c>
      <c r="H193" s="40">
        <f>F197</f>
        <v>284.20960000000002</v>
      </c>
      <c r="I193" s="63"/>
    </row>
    <row r="194" spans="1:9" s="14" customFormat="1" ht="25.5">
      <c r="A194" s="13"/>
      <c r="B194" s="47"/>
      <c r="C194" s="46"/>
      <c r="D194" s="18"/>
      <c r="E194" s="11" t="s">
        <v>297</v>
      </c>
      <c r="F194" s="43">
        <f>10364.81*0.02</f>
        <v>207.2962</v>
      </c>
      <c r="G194" s="73"/>
      <c r="H194" s="40"/>
      <c r="I194" s="63"/>
    </row>
    <row r="195" spans="1:9" s="14" customFormat="1" ht="12.75" customHeight="1">
      <c r="A195" s="13"/>
      <c r="B195" s="47"/>
      <c r="C195" s="46"/>
      <c r="D195" s="18"/>
      <c r="E195" s="11" t="s">
        <v>298</v>
      </c>
      <c r="F195" s="43">
        <v>73.23</v>
      </c>
      <c r="G195" s="73"/>
      <c r="H195" s="40"/>
      <c r="I195" s="63"/>
    </row>
    <row r="196" spans="1:9" s="14" customFormat="1">
      <c r="A196" s="13"/>
      <c r="B196" s="47"/>
      <c r="C196" s="46"/>
      <c r="D196" s="32"/>
      <c r="E196" s="11" t="s">
        <v>299</v>
      </c>
      <c r="F196" s="41">
        <f>52.62*0.07</f>
        <v>3.6834000000000002</v>
      </c>
      <c r="G196" s="96"/>
      <c r="H196" s="36"/>
      <c r="I196" s="63"/>
    </row>
    <row r="197" spans="1:9" s="14" customFormat="1">
      <c r="A197" s="13"/>
      <c r="B197" s="47"/>
      <c r="C197" s="46"/>
      <c r="D197" s="32"/>
      <c r="E197" s="11"/>
      <c r="F197" s="43">
        <f>SUM(F194:F196)</f>
        <v>284.20960000000002</v>
      </c>
      <c r="G197" s="96"/>
      <c r="H197" s="36"/>
      <c r="I197" s="63"/>
    </row>
    <row r="198" spans="1:9" s="14" customFormat="1" ht="25.5">
      <c r="A198" s="12">
        <f>MAX(A$2:A197)+1</f>
        <v>41</v>
      </c>
      <c r="B198" s="35" t="s">
        <v>112</v>
      </c>
      <c r="C198" s="48" t="s">
        <v>216</v>
      </c>
      <c r="D198" s="49"/>
      <c r="E198" s="128" t="s">
        <v>217</v>
      </c>
      <c r="F198" s="129"/>
      <c r="G198" s="50" t="s">
        <v>12</v>
      </c>
      <c r="H198" s="36">
        <f>H199</f>
        <v>14464.99</v>
      </c>
      <c r="I198" s="63"/>
    </row>
    <row r="199" spans="1:9" s="14" customFormat="1" ht="25.5">
      <c r="A199" s="13"/>
      <c r="B199" s="47"/>
      <c r="C199" s="46"/>
      <c r="D199" s="18" t="s">
        <v>218</v>
      </c>
      <c r="E199" s="19" t="s">
        <v>219</v>
      </c>
      <c r="F199" s="19"/>
      <c r="G199" s="73" t="s">
        <v>12</v>
      </c>
      <c r="H199" s="40">
        <f>F200</f>
        <v>14464.99</v>
      </c>
      <c r="I199" s="63"/>
    </row>
    <row r="200" spans="1:9" s="14" customFormat="1">
      <c r="A200" s="13"/>
      <c r="B200" s="47"/>
      <c r="C200" s="46"/>
      <c r="D200" s="32"/>
      <c r="E200" s="11" t="s">
        <v>220</v>
      </c>
      <c r="F200" s="43">
        <v>14464.99</v>
      </c>
      <c r="G200" s="96"/>
      <c r="H200" s="36"/>
      <c r="I200" s="63"/>
    </row>
    <row r="201" spans="1:9" s="14" customFormat="1" ht="25.5">
      <c r="A201" s="12">
        <f>MAX(A$2:A200)+1</f>
        <v>42</v>
      </c>
      <c r="B201" s="35" t="s">
        <v>112</v>
      </c>
      <c r="C201" s="48" t="s">
        <v>233</v>
      </c>
      <c r="D201" s="49"/>
      <c r="E201" s="128" t="s">
        <v>234</v>
      </c>
      <c r="F201" s="129"/>
      <c r="G201" s="50" t="s">
        <v>12</v>
      </c>
      <c r="H201" s="36">
        <f>H202</f>
        <v>20</v>
      </c>
      <c r="I201" s="63"/>
    </row>
    <row r="202" spans="1:9" s="14" customFormat="1" ht="25.5">
      <c r="A202" s="13"/>
      <c r="B202" s="47"/>
      <c r="C202" s="46"/>
      <c r="D202" s="18" t="s">
        <v>233</v>
      </c>
      <c r="E202" s="19" t="s">
        <v>234</v>
      </c>
      <c r="F202" s="19"/>
      <c r="G202" s="73" t="s">
        <v>12</v>
      </c>
      <c r="H202" s="40">
        <f>F204</f>
        <v>20</v>
      </c>
      <c r="I202" s="63"/>
    </row>
    <row r="203" spans="1:9" s="14" customFormat="1" ht="12.75" customHeight="1">
      <c r="A203" s="13"/>
      <c r="B203" s="47"/>
      <c r="C203" s="46"/>
      <c r="D203" s="32"/>
      <c r="E203" s="11" t="s">
        <v>235</v>
      </c>
      <c r="F203" s="43"/>
      <c r="G203" s="96"/>
      <c r="H203" s="36"/>
      <c r="I203" s="63"/>
    </row>
    <row r="204" spans="1:9" s="14" customFormat="1" ht="12.75" customHeight="1">
      <c r="A204" s="13"/>
      <c r="B204" s="47"/>
      <c r="C204" s="46"/>
      <c r="D204" s="32"/>
      <c r="E204" s="11" t="s">
        <v>236</v>
      </c>
      <c r="F204" s="43">
        <v>20</v>
      </c>
      <c r="G204" s="96"/>
      <c r="H204" s="36"/>
      <c r="I204" s="63"/>
    </row>
    <row r="205" spans="1:9" s="14" customFormat="1" ht="30">
      <c r="A205" s="81"/>
      <c r="B205" s="106" t="s">
        <v>73</v>
      </c>
      <c r="C205" s="46"/>
      <c r="D205" s="32"/>
      <c r="E205" s="109" t="s">
        <v>111</v>
      </c>
      <c r="F205" s="42"/>
      <c r="G205" s="96"/>
      <c r="H205" s="36"/>
      <c r="I205" s="63"/>
    </row>
    <row r="206" spans="1:9" s="14" customFormat="1" ht="15">
      <c r="A206" s="12">
        <f>MAX(A$2:A205)+1</f>
        <v>43</v>
      </c>
      <c r="B206" s="35" t="s">
        <v>73</v>
      </c>
      <c r="C206" s="48" t="s">
        <v>221</v>
      </c>
      <c r="D206" s="49"/>
      <c r="E206" s="128" t="s">
        <v>222</v>
      </c>
      <c r="F206" s="129"/>
      <c r="G206" s="50" t="s">
        <v>12</v>
      </c>
      <c r="H206" s="36">
        <f>H207+H210</f>
        <v>1113.48</v>
      </c>
      <c r="I206" s="63"/>
    </row>
    <row r="207" spans="1:9" s="14" customFormat="1" ht="15">
      <c r="A207" s="81"/>
      <c r="B207" s="106"/>
      <c r="C207" s="46"/>
      <c r="D207" s="52" t="s">
        <v>223</v>
      </c>
      <c r="E207" s="130" t="s">
        <v>224</v>
      </c>
      <c r="F207" s="131"/>
      <c r="G207" s="53" t="s">
        <v>12</v>
      </c>
      <c r="H207" s="40">
        <f>F209</f>
        <v>556.74</v>
      </c>
      <c r="I207" s="63"/>
    </row>
    <row r="208" spans="1:9" s="14" customFormat="1" ht="12.75" customHeight="1">
      <c r="A208" s="81"/>
      <c r="B208" s="106"/>
      <c r="C208" s="46"/>
      <c r="D208" s="54"/>
      <c r="E208" s="11" t="s">
        <v>285</v>
      </c>
      <c r="F208" s="131"/>
      <c r="G208" s="53"/>
      <c r="H208" s="40"/>
      <c r="I208" s="63"/>
    </row>
    <row r="209" spans="1:9" s="14" customFormat="1" ht="12.75" customHeight="1">
      <c r="A209" s="13"/>
      <c r="B209" s="47"/>
      <c r="C209" s="46"/>
      <c r="D209" s="18"/>
      <c r="E209" s="11" t="s">
        <v>260</v>
      </c>
      <c r="F209" s="27">
        <f>292.02+264.72</f>
        <v>556.74</v>
      </c>
      <c r="G209" s="73"/>
      <c r="H209" s="40"/>
      <c r="I209" s="63"/>
    </row>
    <row r="210" spans="1:9" s="14" customFormat="1" ht="12.75" customHeight="1">
      <c r="A210" s="81"/>
      <c r="B210" s="106"/>
      <c r="C210" s="46"/>
      <c r="D210" s="52" t="s">
        <v>225</v>
      </c>
      <c r="E210" s="130" t="s">
        <v>226</v>
      </c>
      <c r="F210" s="131"/>
      <c r="G210" s="53" t="s">
        <v>12</v>
      </c>
      <c r="H210" s="40">
        <f>F212</f>
        <v>556.74</v>
      </c>
      <c r="I210" s="63"/>
    </row>
    <row r="211" spans="1:9" s="14" customFormat="1" ht="12.75" customHeight="1">
      <c r="A211" s="81"/>
      <c r="B211" s="106"/>
      <c r="C211" s="46"/>
      <c r="D211" s="54"/>
      <c r="E211" s="11" t="s">
        <v>286</v>
      </c>
      <c r="F211" s="131"/>
      <c r="G211" s="53"/>
      <c r="H211" s="40"/>
      <c r="I211" s="63"/>
    </row>
    <row r="212" spans="1:9" s="14" customFormat="1" ht="15">
      <c r="A212" s="81"/>
      <c r="B212" s="106"/>
      <c r="C212" s="46"/>
      <c r="D212" s="33"/>
      <c r="E212" s="11" t="s">
        <v>260</v>
      </c>
      <c r="F212" s="27">
        <f>292.02+264.72</f>
        <v>556.74</v>
      </c>
      <c r="G212" s="96"/>
      <c r="H212" s="36"/>
      <c r="I212" s="63"/>
    </row>
    <row r="213" spans="1:9" s="14" customFormat="1" ht="15">
      <c r="A213" s="12">
        <f>MAX(A$2:A212)+1</f>
        <v>44</v>
      </c>
      <c r="B213" s="35" t="s">
        <v>73</v>
      </c>
      <c r="C213" s="48" t="s">
        <v>227</v>
      </c>
      <c r="D213" s="49"/>
      <c r="E213" s="128" t="s">
        <v>228</v>
      </c>
      <c r="F213" s="129"/>
      <c r="G213" s="50" t="s">
        <v>12</v>
      </c>
      <c r="H213" s="36">
        <f>H214</f>
        <v>556.74</v>
      </c>
      <c r="I213" s="63"/>
    </row>
    <row r="214" spans="1:9" s="14" customFormat="1" ht="25.5">
      <c r="A214" s="13"/>
      <c r="B214" s="47"/>
      <c r="C214" s="46"/>
      <c r="D214" s="52" t="s">
        <v>229</v>
      </c>
      <c r="E214" s="130" t="s">
        <v>230</v>
      </c>
      <c r="F214" s="131"/>
      <c r="G214" s="53" t="s">
        <v>12</v>
      </c>
      <c r="H214" s="40">
        <f>F216</f>
        <v>556.74</v>
      </c>
      <c r="I214" s="63"/>
    </row>
    <row r="215" spans="1:9" s="14" customFormat="1" ht="12.75" customHeight="1">
      <c r="A215" s="13"/>
      <c r="B215" s="47"/>
      <c r="C215" s="46"/>
      <c r="D215" s="32"/>
      <c r="E215" s="11" t="s">
        <v>287</v>
      </c>
      <c r="F215" s="131"/>
      <c r="G215" s="96"/>
      <c r="H215" s="36"/>
      <c r="I215" s="63"/>
    </row>
    <row r="216" spans="1:9" s="14" customFormat="1">
      <c r="A216" s="13"/>
      <c r="B216" s="47"/>
      <c r="C216" s="46"/>
      <c r="D216" s="32"/>
      <c r="E216" s="11" t="s">
        <v>260</v>
      </c>
      <c r="F216" s="27">
        <f>292.02+264.72</f>
        <v>556.74</v>
      </c>
      <c r="G216" s="96"/>
      <c r="H216" s="36"/>
      <c r="I216" s="63"/>
    </row>
    <row r="217" spans="1:9" s="14" customFormat="1" ht="25.5">
      <c r="A217" s="12">
        <f>MAX(A$2:A216)+1</f>
        <v>45</v>
      </c>
      <c r="B217" s="35" t="s">
        <v>73</v>
      </c>
      <c r="C217" s="15" t="s">
        <v>240</v>
      </c>
      <c r="D217" s="16"/>
      <c r="E217" s="17" t="s">
        <v>241</v>
      </c>
      <c r="F217" s="17"/>
      <c r="G217" s="71" t="s">
        <v>12</v>
      </c>
      <c r="H217" s="36">
        <f>H218</f>
        <v>22.269600000000001</v>
      </c>
      <c r="I217" s="63"/>
    </row>
    <row r="218" spans="1:9" s="14" customFormat="1" ht="25.5">
      <c r="A218" s="13"/>
      <c r="B218" s="47"/>
      <c r="C218" s="46"/>
      <c r="D218" s="18" t="s">
        <v>242</v>
      </c>
      <c r="E218" s="19" t="s">
        <v>243</v>
      </c>
      <c r="F218" s="19"/>
      <c r="G218" s="73" t="s">
        <v>12</v>
      </c>
      <c r="H218" s="40">
        <f>F219</f>
        <v>22.269600000000001</v>
      </c>
      <c r="I218" s="63"/>
    </row>
    <row r="219" spans="1:9" s="14" customFormat="1" ht="25.5">
      <c r="A219" s="13"/>
      <c r="B219" s="47"/>
      <c r="C219" s="46"/>
      <c r="D219" s="33"/>
      <c r="E219" s="11" t="s">
        <v>261</v>
      </c>
      <c r="F219" s="43">
        <f>556.74*0.04</f>
        <v>22.269600000000001</v>
      </c>
      <c r="G219" s="96"/>
      <c r="H219" s="36"/>
      <c r="I219" s="63"/>
    </row>
    <row r="220" spans="1:9" s="14" customFormat="1" ht="25.5">
      <c r="A220" s="12">
        <f>MAX(A$2:A219)+1</f>
        <v>46</v>
      </c>
      <c r="B220" s="35" t="s">
        <v>73</v>
      </c>
      <c r="C220" s="15" t="s">
        <v>244</v>
      </c>
      <c r="D220" s="16"/>
      <c r="E220" s="17" t="s">
        <v>245</v>
      </c>
      <c r="F220" s="17"/>
      <c r="G220" s="71" t="s">
        <v>12</v>
      </c>
      <c r="H220" s="36">
        <f>H221</f>
        <v>22.269600000000001</v>
      </c>
      <c r="I220" s="63"/>
    </row>
    <row r="221" spans="1:9" s="14" customFormat="1" ht="25.5">
      <c r="A221" s="13"/>
      <c r="B221" s="47"/>
      <c r="C221" s="46"/>
      <c r="D221" s="18" t="s">
        <v>246</v>
      </c>
      <c r="E221" s="19" t="s">
        <v>247</v>
      </c>
      <c r="F221" s="19"/>
      <c r="G221" s="73" t="s">
        <v>12</v>
      </c>
      <c r="H221" s="40">
        <f>F222</f>
        <v>22.269600000000001</v>
      </c>
      <c r="I221" s="63"/>
    </row>
    <row r="222" spans="1:9" s="14" customFormat="1" ht="25.5">
      <c r="A222" s="13"/>
      <c r="B222" s="47"/>
      <c r="C222" s="46"/>
      <c r="D222" s="33"/>
      <c r="E222" s="11" t="s">
        <v>262</v>
      </c>
      <c r="F222" s="43">
        <f>556.74*0.04</f>
        <v>22.269600000000001</v>
      </c>
      <c r="G222" s="96"/>
      <c r="H222" s="36"/>
      <c r="I222" s="63"/>
    </row>
    <row r="223" spans="1:9" s="14" customFormat="1" ht="25.5">
      <c r="A223" s="12">
        <f>MAX(A$2:A222)+1</f>
        <v>47</v>
      </c>
      <c r="B223" s="35" t="s">
        <v>73</v>
      </c>
      <c r="C223" s="15" t="s">
        <v>56</v>
      </c>
      <c r="D223" s="16"/>
      <c r="E223" s="17" t="s">
        <v>57</v>
      </c>
      <c r="F223" s="17"/>
      <c r="G223" s="71" t="s">
        <v>12</v>
      </c>
      <c r="H223" s="36">
        <f>H224+H226+H228</f>
        <v>26233.58</v>
      </c>
      <c r="I223" s="63"/>
    </row>
    <row r="224" spans="1:9" s="14" customFormat="1" ht="25.5">
      <c r="A224" s="13"/>
      <c r="B224" s="47"/>
      <c r="C224" s="46"/>
      <c r="D224" s="18" t="s">
        <v>58</v>
      </c>
      <c r="E224" s="19" t="s">
        <v>59</v>
      </c>
      <c r="F224" s="19"/>
      <c r="G224" s="73" t="s">
        <v>12</v>
      </c>
      <c r="H224" s="40">
        <f>F225</f>
        <v>11384.55</v>
      </c>
      <c r="I224" s="63"/>
    </row>
    <row r="225" spans="1:9" s="14" customFormat="1">
      <c r="A225" s="13"/>
      <c r="B225" s="47"/>
      <c r="C225" s="46"/>
      <c r="D225" s="32"/>
      <c r="E225" s="11" t="s">
        <v>237</v>
      </c>
      <c r="F225" s="27">
        <f>H174</f>
        <v>11384.55</v>
      </c>
      <c r="G225" s="96"/>
      <c r="H225" s="36"/>
      <c r="I225" s="63"/>
    </row>
    <row r="226" spans="1:9" s="14" customFormat="1" ht="25.5">
      <c r="A226" s="13"/>
      <c r="B226" s="47"/>
      <c r="C226" s="46"/>
      <c r="D226" s="18" t="s">
        <v>60</v>
      </c>
      <c r="E226" s="19" t="s">
        <v>61</v>
      </c>
      <c r="F226" s="19"/>
      <c r="G226" s="73" t="s">
        <v>12</v>
      </c>
      <c r="H226" s="40">
        <f>F227</f>
        <v>14464.99</v>
      </c>
      <c r="I226" s="63"/>
    </row>
    <row r="227" spans="1:9" s="14" customFormat="1">
      <c r="A227" s="13"/>
      <c r="B227" s="47"/>
      <c r="C227" s="46"/>
      <c r="D227" s="32"/>
      <c r="E227" s="11" t="s">
        <v>238</v>
      </c>
      <c r="F227" s="27">
        <f>H199</f>
        <v>14464.99</v>
      </c>
      <c r="G227" s="96"/>
      <c r="H227" s="36"/>
      <c r="I227" s="63"/>
    </row>
    <row r="228" spans="1:9" s="14" customFormat="1" ht="25.5">
      <c r="A228" s="13"/>
      <c r="B228" s="47"/>
      <c r="C228" s="46"/>
      <c r="D228" s="141" t="s">
        <v>231</v>
      </c>
      <c r="E228" s="142" t="s">
        <v>232</v>
      </c>
      <c r="F228" s="143"/>
      <c r="G228" s="73" t="s">
        <v>12</v>
      </c>
      <c r="H228" s="40">
        <f>F229</f>
        <v>384.04</v>
      </c>
      <c r="I228" s="63"/>
    </row>
    <row r="229" spans="1:9" s="14" customFormat="1">
      <c r="A229" s="13"/>
      <c r="B229" s="47"/>
      <c r="C229" s="46"/>
      <c r="D229" s="32"/>
      <c r="E229" s="11" t="s">
        <v>239</v>
      </c>
      <c r="F229" s="27">
        <f>H177</f>
        <v>384.04</v>
      </c>
      <c r="G229" s="96"/>
      <c r="H229" s="36"/>
      <c r="I229" s="63"/>
    </row>
    <row r="230" spans="1:9" s="14" customFormat="1" ht="15">
      <c r="A230" s="12">
        <f>MAX(A$2:A229)+1</f>
        <v>48</v>
      </c>
      <c r="B230" s="35" t="s">
        <v>73</v>
      </c>
      <c r="C230" s="48" t="s">
        <v>197</v>
      </c>
      <c r="D230" s="49"/>
      <c r="E230" s="128" t="s">
        <v>198</v>
      </c>
      <c r="F230" s="129"/>
      <c r="G230" s="50" t="s">
        <v>12</v>
      </c>
      <c r="H230" s="36">
        <f>H231</f>
        <v>556.74</v>
      </c>
      <c r="I230" s="63"/>
    </row>
    <row r="231" spans="1:9" s="14" customFormat="1" ht="25.5">
      <c r="A231" s="13"/>
      <c r="B231" s="47"/>
      <c r="C231" s="51"/>
      <c r="D231" s="52" t="s">
        <v>199</v>
      </c>
      <c r="E231" s="130" t="s">
        <v>200</v>
      </c>
      <c r="F231" s="131"/>
      <c r="G231" s="53" t="s">
        <v>12</v>
      </c>
      <c r="H231" s="40">
        <f>F232</f>
        <v>556.74</v>
      </c>
      <c r="I231" s="63"/>
    </row>
    <row r="232" spans="1:9" s="14" customFormat="1">
      <c r="A232" s="13"/>
      <c r="B232" s="47"/>
      <c r="C232" s="46"/>
      <c r="D232" s="18"/>
      <c r="E232" s="11" t="s">
        <v>260</v>
      </c>
      <c r="F232" s="27">
        <f>292.02+264.72</f>
        <v>556.74</v>
      </c>
      <c r="G232" s="73"/>
      <c r="H232" s="40"/>
      <c r="I232" s="63"/>
    </row>
    <row r="233" spans="1:9" ht="16.5" thickBot="1">
      <c r="A233" s="82"/>
      <c r="B233" s="7"/>
      <c r="C233" s="9"/>
      <c r="D233" s="34"/>
      <c r="E233" s="9"/>
      <c r="F233" s="9"/>
      <c r="G233" s="98"/>
      <c r="H233" s="25"/>
    </row>
  </sheetData>
  <mergeCells count="6">
    <mergeCell ref="H6:H7"/>
    <mergeCell ref="A6:A7"/>
    <mergeCell ref="B7:C7"/>
    <mergeCell ref="B6:D6"/>
    <mergeCell ref="E6:F7"/>
    <mergeCell ref="G6:G7"/>
  </mergeCells>
  <pageMargins left="0.43307086614173229" right="0.43307086614173229" top="0.43307086614173229" bottom="0.62992125984251968" header="0.27559055118110237" footer="0.27559055118110237"/>
  <pageSetup paperSize="9" scale="78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201-00</vt:lpstr>
      <vt:lpstr>'201-00'!Názvy_tlače</vt:lpstr>
      <vt:lpstr>'201-00'!Oblasť_tlače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Orbanova</dc:creator>
  <cp:lastModifiedBy>Marta Orbanova</cp:lastModifiedBy>
  <cp:lastPrinted>2022-06-27T11:44:18Z</cp:lastPrinted>
  <dcterms:created xsi:type="dcterms:W3CDTF">2019-04-09T06:44:39Z</dcterms:created>
  <dcterms:modified xsi:type="dcterms:W3CDTF">2024-04-09T08:05:35Z</dcterms:modified>
</cp:coreProperties>
</file>