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https://silnicelk-my.sharepoint.com/personal/monika_poslova_silnicelk_cz/Documents/Documents/_VEŘEJNÉ ZAKÁZKY - podklady/Z24009_Hala Růžodol/Z24009_3_Josephine/Z24009_Hala Růžodol_ZD/"/>
    </mc:Choice>
  </mc:AlternateContent>
  <xr:revisionPtr revIDLastSave="10" documentId="13_ncr:1_{76C8D0CA-1653-4E79-A9BD-2422610DE77C}" xr6:coauthVersionLast="47" xr6:coauthVersionMax="47" xr10:uidLastSave="{24BFFAB8-5469-4F35-A104-0EB1205F5C9E}"/>
  <bookViews>
    <workbookView xWindow="-120" yWindow="-120" windowWidth="29040" windowHeight="15720" xr2:uid="{00000000-000D-0000-FFFF-FFFF00000000}"/>
  </bookViews>
  <sheets>
    <sheet name="Stavební rozpočet" sheetId="1" r:id="rId1"/>
    <sheet name="Stavební rozpočet - součet" sheetId="2" r:id="rId2"/>
    <sheet name="Výkaz výměr" sheetId="3" r:id="rId3"/>
    <sheet name="Krycí list rozpočtu" sheetId="4" r:id="rId4"/>
    <sheet name="VORN" sheetId="5" r:id="rId5"/>
  </sheets>
  <definedNames>
    <definedName name="vorn_sum">VORN!$I$45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5" l="1"/>
  <c r="F44" i="5"/>
  <c r="I44" i="5" s="1"/>
  <c r="F43" i="5"/>
  <c r="I43" i="5" s="1"/>
  <c r="F42" i="5"/>
  <c r="I42" i="5" s="1"/>
  <c r="F41" i="5"/>
  <c r="I41" i="5" s="1"/>
  <c r="F40" i="5"/>
  <c r="I40" i="5" s="1"/>
  <c r="I39" i="5"/>
  <c r="F39" i="5"/>
  <c r="F38" i="5"/>
  <c r="I38" i="5" s="1"/>
  <c r="F36" i="5"/>
  <c r="I36" i="5" s="1"/>
  <c r="I27" i="5"/>
  <c r="I26" i="5"/>
  <c r="I25" i="5"/>
  <c r="I24" i="5"/>
  <c r="I23" i="5"/>
  <c r="I16" i="4" s="1"/>
  <c r="I22" i="5"/>
  <c r="I21" i="5"/>
  <c r="I17" i="5"/>
  <c r="I16" i="5"/>
  <c r="I15" i="5"/>
  <c r="I18" i="5" s="1"/>
  <c r="F29" i="5" s="1"/>
  <c r="I10" i="5"/>
  <c r="F10" i="5"/>
  <c r="C10" i="5"/>
  <c r="F8" i="5"/>
  <c r="C8" i="5"/>
  <c r="C6" i="5"/>
  <c r="F4" i="5"/>
  <c r="C4" i="5"/>
  <c r="F2" i="5"/>
  <c r="C2" i="5"/>
  <c r="I19" i="4"/>
  <c r="I18" i="4"/>
  <c r="I17" i="4"/>
  <c r="F16" i="4"/>
  <c r="I15" i="4"/>
  <c r="F15" i="4"/>
  <c r="I14" i="4"/>
  <c r="I22" i="4" s="1"/>
  <c r="F14" i="4"/>
  <c r="F22" i="4" s="1"/>
  <c r="I10" i="4"/>
  <c r="F10" i="4"/>
  <c r="C10" i="4"/>
  <c r="F8" i="4"/>
  <c r="C8" i="4"/>
  <c r="F6" i="4"/>
  <c r="C6" i="4"/>
  <c r="F4" i="4"/>
  <c r="C4" i="4"/>
  <c r="F2" i="4"/>
  <c r="C2" i="4"/>
  <c r="F8" i="3"/>
  <c r="C8" i="3"/>
  <c r="F6" i="3"/>
  <c r="C6" i="3"/>
  <c r="F4" i="3"/>
  <c r="C4" i="3"/>
  <c r="F2" i="3"/>
  <c r="C2" i="3"/>
  <c r="I30" i="2"/>
  <c r="G18" i="2"/>
  <c r="I18" i="2" s="1"/>
  <c r="E18" i="2"/>
  <c r="E12" i="2"/>
  <c r="G8" i="2"/>
  <c r="C8" i="2"/>
  <c r="C6" i="2"/>
  <c r="G4" i="2"/>
  <c r="C4" i="2"/>
  <c r="G2" i="2"/>
  <c r="C2" i="2"/>
  <c r="BR154" i="1"/>
  <c r="BJ154" i="1"/>
  <c r="BH154" i="1"/>
  <c r="BF154" i="1"/>
  <c r="BD154" i="1"/>
  <c r="AW154" i="1"/>
  <c r="AP154" i="1"/>
  <c r="AO154" i="1"/>
  <c r="H154" i="1" s="1"/>
  <c r="H153" i="1" s="1"/>
  <c r="E33" i="2" s="1"/>
  <c r="AK154" i="1"/>
  <c r="AJ154" i="1"/>
  <c r="AS153" i="1" s="1"/>
  <c r="AH154" i="1"/>
  <c r="AG154" i="1"/>
  <c r="AF154" i="1"/>
  <c r="AE154" i="1"/>
  <c r="AD154" i="1"/>
  <c r="AC154" i="1"/>
  <c r="AB154" i="1"/>
  <c r="Z154" i="1"/>
  <c r="J154" i="1"/>
  <c r="AL154" i="1" s="1"/>
  <c r="AU153" i="1" s="1"/>
  <c r="AT153" i="1"/>
  <c r="BO152" i="1"/>
  <c r="BJ152" i="1"/>
  <c r="BI152" i="1"/>
  <c r="BF152" i="1"/>
  <c r="BD152" i="1"/>
  <c r="AX152" i="1"/>
  <c r="AP152" i="1"/>
  <c r="AO152" i="1"/>
  <c r="BH152" i="1" s="1"/>
  <c r="AL152" i="1"/>
  <c r="AK152" i="1"/>
  <c r="AT149" i="1" s="1"/>
  <c r="AJ152" i="1"/>
  <c r="AH152" i="1"/>
  <c r="AG152" i="1"/>
  <c r="AF152" i="1"/>
  <c r="AE152" i="1"/>
  <c r="AD152" i="1"/>
  <c r="AC152" i="1"/>
  <c r="AB152" i="1"/>
  <c r="Z152" i="1"/>
  <c r="J152" i="1"/>
  <c r="I152" i="1"/>
  <c r="H152" i="1"/>
  <c r="BO151" i="1"/>
  <c r="BJ151" i="1"/>
  <c r="BF151" i="1"/>
  <c r="BD151" i="1"/>
  <c r="AP151" i="1"/>
  <c r="I151" i="1" s="1"/>
  <c r="AO151" i="1"/>
  <c r="AL151" i="1"/>
  <c r="AK151" i="1"/>
  <c r="AJ151" i="1"/>
  <c r="AH151" i="1"/>
  <c r="AG151" i="1"/>
  <c r="AF151" i="1"/>
  <c r="AE151" i="1"/>
  <c r="AD151" i="1"/>
  <c r="AC151" i="1"/>
  <c r="AB151" i="1"/>
  <c r="Z151" i="1"/>
  <c r="J151" i="1"/>
  <c r="BO150" i="1"/>
  <c r="BJ150" i="1"/>
  <c r="BH150" i="1"/>
  <c r="BF150" i="1"/>
  <c r="BD150" i="1"/>
  <c r="AW150" i="1"/>
  <c r="AP150" i="1"/>
  <c r="AO150" i="1"/>
  <c r="H150" i="1" s="1"/>
  <c r="AK150" i="1"/>
  <c r="AJ150" i="1"/>
  <c r="AH150" i="1"/>
  <c r="AG150" i="1"/>
  <c r="AF150" i="1"/>
  <c r="AE150" i="1"/>
  <c r="AD150" i="1"/>
  <c r="AC150" i="1"/>
  <c r="AB150" i="1"/>
  <c r="Z150" i="1"/>
  <c r="J150" i="1"/>
  <c r="AL150" i="1" s="1"/>
  <c r="BM147" i="1"/>
  <c r="BJ147" i="1"/>
  <c r="BI147" i="1"/>
  <c r="BF147" i="1"/>
  <c r="BD147" i="1"/>
  <c r="AX147" i="1"/>
  <c r="AP147" i="1"/>
  <c r="AO147" i="1"/>
  <c r="BH147" i="1" s="1"/>
  <c r="AL147" i="1"/>
  <c r="AK147" i="1"/>
  <c r="AJ147" i="1"/>
  <c r="AH147" i="1"/>
  <c r="AG147" i="1"/>
  <c r="AF147" i="1"/>
  <c r="AE147" i="1"/>
  <c r="AD147" i="1"/>
  <c r="AC147" i="1"/>
  <c r="AB147" i="1"/>
  <c r="Z147" i="1"/>
  <c r="J147" i="1"/>
  <c r="I147" i="1"/>
  <c r="H147" i="1"/>
  <c r="BM146" i="1"/>
  <c r="F35" i="5" s="1"/>
  <c r="I35" i="5" s="1"/>
  <c r="BJ146" i="1"/>
  <c r="BF146" i="1"/>
  <c r="BD146" i="1"/>
  <c r="AP146" i="1"/>
  <c r="AO146" i="1"/>
  <c r="AL146" i="1"/>
  <c r="AK146" i="1"/>
  <c r="AJ146" i="1"/>
  <c r="AH146" i="1"/>
  <c r="AG146" i="1"/>
  <c r="AF146" i="1"/>
  <c r="AE146" i="1"/>
  <c r="AD146" i="1"/>
  <c r="AC146" i="1"/>
  <c r="AB146" i="1"/>
  <c r="Z146" i="1"/>
  <c r="J146" i="1"/>
  <c r="J145" i="1" s="1"/>
  <c r="I146" i="1"/>
  <c r="BJ142" i="1"/>
  <c r="AH142" i="1" s="1"/>
  <c r="BI142" i="1"/>
  <c r="BF142" i="1"/>
  <c r="BD142" i="1"/>
  <c r="AX142" i="1"/>
  <c r="AP142" i="1"/>
  <c r="AO142" i="1"/>
  <c r="BH142" i="1" s="1"/>
  <c r="AL142" i="1"/>
  <c r="AK142" i="1"/>
  <c r="AJ142" i="1"/>
  <c r="AG142" i="1"/>
  <c r="AF142" i="1"/>
  <c r="AE142" i="1"/>
  <c r="AD142" i="1"/>
  <c r="AC142" i="1"/>
  <c r="AB142" i="1"/>
  <c r="Z142" i="1"/>
  <c r="J142" i="1"/>
  <c r="I142" i="1"/>
  <c r="H142" i="1"/>
  <c r="BJ141" i="1"/>
  <c r="AH141" i="1" s="1"/>
  <c r="BF141" i="1"/>
  <c r="BD141" i="1"/>
  <c r="AP141" i="1"/>
  <c r="BI141" i="1" s="1"/>
  <c r="AO141" i="1"/>
  <c r="AL141" i="1"/>
  <c r="AK141" i="1"/>
  <c r="AT126" i="1" s="1"/>
  <c r="AJ141" i="1"/>
  <c r="AG141" i="1"/>
  <c r="AF141" i="1"/>
  <c r="AE141" i="1"/>
  <c r="AD141" i="1"/>
  <c r="AC141" i="1"/>
  <c r="AB141" i="1"/>
  <c r="Z141" i="1"/>
  <c r="J141" i="1"/>
  <c r="I141" i="1"/>
  <c r="H141" i="1"/>
  <c r="BJ139" i="1"/>
  <c r="BF139" i="1"/>
  <c r="BD139" i="1"/>
  <c r="AP139" i="1"/>
  <c r="AO139" i="1"/>
  <c r="AK139" i="1"/>
  <c r="AJ139" i="1"/>
  <c r="AH139" i="1"/>
  <c r="AG139" i="1"/>
  <c r="AF139" i="1"/>
  <c r="AE139" i="1"/>
  <c r="AD139" i="1"/>
  <c r="AC139" i="1"/>
  <c r="AB139" i="1"/>
  <c r="Z139" i="1"/>
  <c r="J139" i="1"/>
  <c r="AL139" i="1" s="1"/>
  <c r="BJ137" i="1"/>
  <c r="BF137" i="1"/>
  <c r="BD137" i="1"/>
  <c r="AP137" i="1"/>
  <c r="AO137" i="1"/>
  <c r="AK137" i="1"/>
  <c r="AJ137" i="1"/>
  <c r="AH137" i="1"/>
  <c r="AG137" i="1"/>
  <c r="AF137" i="1"/>
  <c r="AE137" i="1"/>
  <c r="AD137" i="1"/>
  <c r="AC137" i="1"/>
  <c r="AB137" i="1"/>
  <c r="Z137" i="1"/>
  <c r="J137" i="1"/>
  <c r="AL137" i="1" s="1"/>
  <c r="BJ135" i="1"/>
  <c r="BH135" i="1"/>
  <c r="BF135" i="1"/>
  <c r="BD135" i="1"/>
  <c r="AW135" i="1"/>
  <c r="AP135" i="1"/>
  <c r="AO135" i="1"/>
  <c r="AK135" i="1"/>
  <c r="AJ135" i="1"/>
  <c r="AH135" i="1"/>
  <c r="AG135" i="1"/>
  <c r="AF135" i="1"/>
  <c r="AE135" i="1"/>
  <c r="AD135" i="1"/>
  <c r="AC135" i="1"/>
  <c r="AB135" i="1"/>
  <c r="Z135" i="1"/>
  <c r="J135" i="1"/>
  <c r="AL135" i="1" s="1"/>
  <c r="H135" i="1"/>
  <c r="BJ133" i="1"/>
  <c r="AH133" i="1" s="1"/>
  <c r="BI133" i="1"/>
  <c r="BF133" i="1"/>
  <c r="BD133" i="1"/>
  <c r="AX133" i="1"/>
  <c r="AW133" i="1"/>
  <c r="BC133" i="1" s="1"/>
  <c r="AV133" i="1"/>
  <c r="AP133" i="1"/>
  <c r="AO133" i="1"/>
  <c r="BH133" i="1" s="1"/>
  <c r="AL133" i="1"/>
  <c r="AK133" i="1"/>
  <c r="AJ133" i="1"/>
  <c r="AG133" i="1"/>
  <c r="AF133" i="1"/>
  <c r="AE133" i="1"/>
  <c r="AD133" i="1"/>
  <c r="AC133" i="1"/>
  <c r="AB133" i="1"/>
  <c r="Z133" i="1"/>
  <c r="J133" i="1"/>
  <c r="I133" i="1"/>
  <c r="H133" i="1"/>
  <c r="BJ131" i="1"/>
  <c r="AH131" i="1" s="1"/>
  <c r="BF131" i="1"/>
  <c r="BD131" i="1"/>
  <c r="AX131" i="1"/>
  <c r="AW131" i="1"/>
  <c r="AV131" i="1" s="1"/>
  <c r="AP131" i="1"/>
  <c r="BI131" i="1" s="1"/>
  <c r="AO131" i="1"/>
  <c r="BH131" i="1" s="1"/>
  <c r="AK131" i="1"/>
  <c r="AJ131" i="1"/>
  <c r="AG131" i="1"/>
  <c r="AF131" i="1"/>
  <c r="AE131" i="1"/>
  <c r="AD131" i="1"/>
  <c r="AC131" i="1"/>
  <c r="AB131" i="1"/>
  <c r="Z131" i="1"/>
  <c r="J131" i="1"/>
  <c r="AL131" i="1" s="1"/>
  <c r="I131" i="1"/>
  <c r="H131" i="1"/>
  <c r="BJ129" i="1"/>
  <c r="AH129" i="1" s="1"/>
  <c r="BF129" i="1"/>
  <c r="BD129" i="1"/>
  <c r="BC129" i="1"/>
  <c r="AX129" i="1"/>
  <c r="AW129" i="1"/>
  <c r="AP129" i="1"/>
  <c r="BI129" i="1" s="1"/>
  <c r="AO129" i="1"/>
  <c r="H129" i="1" s="1"/>
  <c r="AL129" i="1"/>
  <c r="AK129" i="1"/>
  <c r="AJ129" i="1"/>
  <c r="AG129" i="1"/>
  <c r="AF129" i="1"/>
  <c r="AE129" i="1"/>
  <c r="AD129" i="1"/>
  <c r="AC129" i="1"/>
  <c r="AB129" i="1"/>
  <c r="Z129" i="1"/>
  <c r="J129" i="1"/>
  <c r="I129" i="1"/>
  <c r="BJ127" i="1"/>
  <c r="BH127" i="1"/>
  <c r="BF127" i="1"/>
  <c r="BD127" i="1"/>
  <c r="BC127" i="1"/>
  <c r="AX127" i="1"/>
  <c r="AP127" i="1"/>
  <c r="I127" i="1" s="1"/>
  <c r="AO127" i="1"/>
  <c r="AW127" i="1" s="1"/>
  <c r="AV127" i="1" s="1"/>
  <c r="AK127" i="1"/>
  <c r="AJ127" i="1"/>
  <c r="AH127" i="1"/>
  <c r="AG127" i="1"/>
  <c r="AF127" i="1"/>
  <c r="AE127" i="1"/>
  <c r="AD127" i="1"/>
  <c r="AC127" i="1"/>
  <c r="AB127" i="1"/>
  <c r="Z127" i="1"/>
  <c r="J127" i="1"/>
  <c r="AL127" i="1" s="1"/>
  <c r="AS126" i="1"/>
  <c r="BJ125" i="1"/>
  <c r="BF125" i="1"/>
  <c r="BD125" i="1"/>
  <c r="AP125" i="1"/>
  <c r="AO125" i="1"/>
  <c r="AK125" i="1"/>
  <c r="AJ125" i="1"/>
  <c r="AH125" i="1"/>
  <c r="AG125" i="1"/>
  <c r="AF125" i="1"/>
  <c r="AE125" i="1"/>
  <c r="AD125" i="1"/>
  <c r="AC125" i="1"/>
  <c r="AB125" i="1"/>
  <c r="Z125" i="1"/>
  <c r="J125" i="1"/>
  <c r="AT124" i="1"/>
  <c r="AS124" i="1"/>
  <c r="BJ123" i="1"/>
  <c r="Z123" i="1" s="1"/>
  <c r="BF123" i="1"/>
  <c r="BD123" i="1"/>
  <c r="AP123" i="1"/>
  <c r="I123" i="1" s="1"/>
  <c r="I122" i="1" s="1"/>
  <c r="F27" i="2" s="1"/>
  <c r="AO123" i="1"/>
  <c r="BH123" i="1" s="1"/>
  <c r="AK123" i="1"/>
  <c r="AT122" i="1" s="1"/>
  <c r="AJ123" i="1"/>
  <c r="AS122" i="1" s="1"/>
  <c r="AH123" i="1"/>
  <c r="AG123" i="1"/>
  <c r="AF123" i="1"/>
  <c r="AE123" i="1"/>
  <c r="AD123" i="1"/>
  <c r="AC123" i="1"/>
  <c r="AB123" i="1"/>
  <c r="J123" i="1"/>
  <c r="AL123" i="1" s="1"/>
  <c r="AU122" i="1" s="1"/>
  <c r="BJ119" i="1"/>
  <c r="BI119" i="1"/>
  <c r="BF119" i="1"/>
  <c r="BD119" i="1"/>
  <c r="AX119" i="1"/>
  <c r="AW119" i="1"/>
  <c r="BC119" i="1" s="1"/>
  <c r="AV119" i="1"/>
  <c r="AP119" i="1"/>
  <c r="I119" i="1" s="1"/>
  <c r="AO119" i="1"/>
  <c r="BH119" i="1" s="1"/>
  <c r="AB119" i="1" s="1"/>
  <c r="AL119" i="1"/>
  <c r="AK119" i="1"/>
  <c r="AJ119" i="1"/>
  <c r="AH119" i="1"/>
  <c r="AG119" i="1"/>
  <c r="AF119" i="1"/>
  <c r="AE119" i="1"/>
  <c r="AD119" i="1"/>
  <c r="AC119" i="1"/>
  <c r="Z119" i="1"/>
  <c r="J119" i="1"/>
  <c r="H119" i="1"/>
  <c r="BJ116" i="1"/>
  <c r="BF116" i="1"/>
  <c r="BD116" i="1"/>
  <c r="BC116" i="1"/>
  <c r="AX116" i="1"/>
  <c r="AW116" i="1"/>
  <c r="AP116" i="1"/>
  <c r="BI116" i="1" s="1"/>
  <c r="AO116" i="1"/>
  <c r="BH116" i="1" s="1"/>
  <c r="AB116" i="1" s="1"/>
  <c r="AK116" i="1"/>
  <c r="AT115" i="1" s="1"/>
  <c r="AJ116" i="1"/>
  <c r="AS115" i="1" s="1"/>
  <c r="AH116" i="1"/>
  <c r="AG116" i="1"/>
  <c r="AF116" i="1"/>
  <c r="AE116" i="1"/>
  <c r="AD116" i="1"/>
  <c r="AC116" i="1"/>
  <c r="Z116" i="1"/>
  <c r="J116" i="1"/>
  <c r="AL116" i="1" s="1"/>
  <c r="AU115" i="1" s="1"/>
  <c r="I116" i="1"/>
  <c r="H116" i="1"/>
  <c r="J115" i="1"/>
  <c r="G26" i="2" s="1"/>
  <c r="I26" i="2" s="1"/>
  <c r="I115" i="1"/>
  <c r="F26" i="2" s="1"/>
  <c r="H115" i="1"/>
  <c r="E26" i="2" s="1"/>
  <c r="BJ114" i="1"/>
  <c r="BF114" i="1"/>
  <c r="BD114" i="1"/>
  <c r="AP114" i="1"/>
  <c r="BI114" i="1" s="1"/>
  <c r="AC114" i="1" s="1"/>
  <c r="AO114" i="1"/>
  <c r="AK114" i="1"/>
  <c r="AT113" i="1" s="1"/>
  <c r="AJ114" i="1"/>
  <c r="AS113" i="1" s="1"/>
  <c r="AH114" i="1"/>
  <c r="AG114" i="1"/>
  <c r="AF114" i="1"/>
  <c r="AE114" i="1"/>
  <c r="AD114" i="1"/>
  <c r="Z114" i="1"/>
  <c r="J114" i="1"/>
  <c r="J113" i="1" s="1"/>
  <c r="G25" i="2" s="1"/>
  <c r="I25" i="2" s="1"/>
  <c r="I114" i="1"/>
  <c r="I113" i="1" s="1"/>
  <c r="F25" i="2" s="1"/>
  <c r="H114" i="1"/>
  <c r="H113" i="1" s="1"/>
  <c r="E25" i="2" s="1"/>
  <c r="BJ112" i="1"/>
  <c r="BH112" i="1"/>
  <c r="AB112" i="1" s="1"/>
  <c r="BF112" i="1"/>
  <c r="BD112" i="1"/>
  <c r="AX112" i="1"/>
  <c r="AP112" i="1"/>
  <c r="I112" i="1" s="1"/>
  <c r="AO112" i="1"/>
  <c r="AW112" i="1" s="1"/>
  <c r="AV112" i="1" s="1"/>
  <c r="AK112" i="1"/>
  <c r="AJ112" i="1"/>
  <c r="AH112" i="1"/>
  <c r="AG112" i="1"/>
  <c r="AF112" i="1"/>
  <c r="AE112" i="1"/>
  <c r="AD112" i="1"/>
  <c r="Z112" i="1"/>
  <c r="J112" i="1"/>
  <c r="AL112" i="1" s="1"/>
  <c r="AU111" i="1" s="1"/>
  <c r="AT111" i="1"/>
  <c r="AS111" i="1"/>
  <c r="J111" i="1"/>
  <c r="G24" i="2" s="1"/>
  <c r="I24" i="2" s="1"/>
  <c r="I111" i="1"/>
  <c r="F24" i="2" s="1"/>
  <c r="BJ109" i="1"/>
  <c r="BF109" i="1"/>
  <c r="BD109" i="1"/>
  <c r="AP109" i="1"/>
  <c r="AO109" i="1"/>
  <c r="AK109" i="1"/>
  <c r="AJ109" i="1"/>
  <c r="AH109" i="1"/>
  <c r="AG109" i="1"/>
  <c r="AF109" i="1"/>
  <c r="AC109" i="1"/>
  <c r="AB109" i="1"/>
  <c r="Z109" i="1"/>
  <c r="J109" i="1"/>
  <c r="BJ107" i="1"/>
  <c r="BH107" i="1"/>
  <c r="BF107" i="1"/>
  <c r="BD107" i="1"/>
  <c r="AW107" i="1"/>
  <c r="AP107" i="1"/>
  <c r="AO107" i="1"/>
  <c r="AK107" i="1"/>
  <c r="AJ107" i="1"/>
  <c r="AH107" i="1"/>
  <c r="AG107" i="1"/>
  <c r="AF107" i="1"/>
  <c r="AD107" i="1"/>
  <c r="AC107" i="1"/>
  <c r="AB107" i="1"/>
  <c r="Z107" i="1"/>
  <c r="J107" i="1"/>
  <c r="AL107" i="1" s="1"/>
  <c r="H107" i="1"/>
  <c r="BJ105" i="1"/>
  <c r="BI105" i="1"/>
  <c r="BF105" i="1"/>
  <c r="BD105" i="1"/>
  <c r="AX105" i="1"/>
  <c r="AW105" i="1"/>
  <c r="AV105" i="1" s="1"/>
  <c r="AP105" i="1"/>
  <c r="I105" i="1" s="1"/>
  <c r="AO105" i="1"/>
  <c r="BH105" i="1" s="1"/>
  <c r="AL105" i="1"/>
  <c r="AK105" i="1"/>
  <c r="AJ105" i="1"/>
  <c r="AS102" i="1" s="1"/>
  <c r="AH105" i="1"/>
  <c r="AG105" i="1"/>
  <c r="AF105" i="1"/>
  <c r="AE105" i="1"/>
  <c r="AD105" i="1"/>
  <c r="AC105" i="1"/>
  <c r="AB105" i="1"/>
  <c r="Z105" i="1"/>
  <c r="J105" i="1"/>
  <c r="H105" i="1"/>
  <c r="BJ103" i="1"/>
  <c r="BF103" i="1"/>
  <c r="BD103" i="1"/>
  <c r="AX103" i="1"/>
  <c r="BC103" i="1" s="1"/>
  <c r="AW103" i="1"/>
  <c r="AP103" i="1"/>
  <c r="BI103" i="1" s="1"/>
  <c r="AO103" i="1"/>
  <c r="BH103" i="1" s="1"/>
  <c r="AK103" i="1"/>
  <c r="AT102" i="1" s="1"/>
  <c r="AJ103" i="1"/>
  <c r="AH103" i="1"/>
  <c r="AG103" i="1"/>
  <c r="AF103" i="1"/>
  <c r="AE103" i="1"/>
  <c r="AD103" i="1"/>
  <c r="AC103" i="1"/>
  <c r="AB103" i="1"/>
  <c r="Z103" i="1"/>
  <c r="J103" i="1"/>
  <c r="AL103" i="1" s="1"/>
  <c r="I103" i="1"/>
  <c r="H103" i="1"/>
  <c r="BJ100" i="1"/>
  <c r="BF100" i="1"/>
  <c r="BD100" i="1"/>
  <c r="AP100" i="1"/>
  <c r="BI100" i="1" s="1"/>
  <c r="AE100" i="1" s="1"/>
  <c r="AO100" i="1"/>
  <c r="AL100" i="1"/>
  <c r="AU99" i="1" s="1"/>
  <c r="AK100" i="1"/>
  <c r="AT99" i="1" s="1"/>
  <c r="AJ100" i="1"/>
  <c r="AH100" i="1"/>
  <c r="AG100" i="1"/>
  <c r="AF100" i="1"/>
  <c r="AC100" i="1"/>
  <c r="AB100" i="1"/>
  <c r="Z100" i="1"/>
  <c r="J100" i="1"/>
  <c r="J99" i="1" s="1"/>
  <c r="G22" i="2" s="1"/>
  <c r="I22" i="2" s="1"/>
  <c r="I100" i="1"/>
  <c r="I99" i="1" s="1"/>
  <c r="F22" i="2" s="1"/>
  <c r="AS99" i="1"/>
  <c r="BJ97" i="1"/>
  <c r="BH97" i="1"/>
  <c r="AD97" i="1" s="1"/>
  <c r="BF97" i="1"/>
  <c r="BD97" i="1"/>
  <c r="AX97" i="1"/>
  <c r="AP97" i="1"/>
  <c r="I97" i="1" s="1"/>
  <c r="AO97" i="1"/>
  <c r="AW97" i="1" s="1"/>
  <c r="AV97" i="1" s="1"/>
  <c r="AK97" i="1"/>
  <c r="AJ97" i="1"/>
  <c r="AH97" i="1"/>
  <c r="AG97" i="1"/>
  <c r="AF97" i="1"/>
  <c r="AC97" i="1"/>
  <c r="AB97" i="1"/>
  <c r="Z97" i="1"/>
  <c r="J97" i="1"/>
  <c r="AL97" i="1" s="1"/>
  <c r="AU96" i="1" s="1"/>
  <c r="AT96" i="1"/>
  <c r="AS96" i="1"/>
  <c r="J96" i="1"/>
  <c r="G21" i="2" s="1"/>
  <c r="I21" i="2" s="1"/>
  <c r="I96" i="1"/>
  <c r="F21" i="2" s="1"/>
  <c r="BJ93" i="1"/>
  <c r="BF93" i="1"/>
  <c r="BD93" i="1"/>
  <c r="AP93" i="1"/>
  <c r="AO93" i="1"/>
  <c r="AK93" i="1"/>
  <c r="AJ93" i="1"/>
  <c r="AH93" i="1"/>
  <c r="AG93" i="1"/>
  <c r="AF93" i="1"/>
  <c r="AC93" i="1"/>
  <c r="AB93" i="1"/>
  <c r="Z93" i="1"/>
  <c r="J93" i="1"/>
  <c r="AL93" i="1" s="1"/>
  <c r="BJ91" i="1"/>
  <c r="BH91" i="1"/>
  <c r="BF91" i="1"/>
  <c r="BD91" i="1"/>
  <c r="AW91" i="1"/>
  <c r="AP91" i="1"/>
  <c r="AO91" i="1"/>
  <c r="H91" i="1" s="1"/>
  <c r="AK91" i="1"/>
  <c r="AJ91" i="1"/>
  <c r="AH91" i="1"/>
  <c r="AG91" i="1"/>
  <c r="AF91" i="1"/>
  <c r="AD91" i="1"/>
  <c r="AC91" i="1"/>
  <c r="AB91" i="1"/>
  <c r="Z91" i="1"/>
  <c r="J91" i="1"/>
  <c r="AL91" i="1" s="1"/>
  <c r="BJ90" i="1"/>
  <c r="BI90" i="1"/>
  <c r="BF90" i="1"/>
  <c r="BD90" i="1"/>
  <c r="AX90" i="1"/>
  <c r="AW90" i="1"/>
  <c r="AV90" i="1" s="1"/>
  <c r="AP90" i="1"/>
  <c r="I90" i="1" s="1"/>
  <c r="AO90" i="1"/>
  <c r="BH90" i="1" s="1"/>
  <c r="AL90" i="1"/>
  <c r="AK90" i="1"/>
  <c r="AJ90" i="1"/>
  <c r="AH90" i="1"/>
  <c r="AG90" i="1"/>
  <c r="AF90" i="1"/>
  <c r="AE90" i="1"/>
  <c r="AD90" i="1"/>
  <c r="AC90" i="1"/>
  <c r="AB90" i="1"/>
  <c r="Z90" i="1"/>
  <c r="J90" i="1"/>
  <c r="H90" i="1"/>
  <c r="BJ89" i="1"/>
  <c r="BF89" i="1"/>
  <c r="BD89" i="1"/>
  <c r="AX89" i="1"/>
  <c r="AW89" i="1"/>
  <c r="AV89" i="1" s="1"/>
  <c r="AP89" i="1"/>
  <c r="BI89" i="1" s="1"/>
  <c r="AE89" i="1" s="1"/>
  <c r="AO89" i="1"/>
  <c r="BH89" i="1" s="1"/>
  <c r="AK89" i="1"/>
  <c r="AJ89" i="1"/>
  <c r="AH89" i="1"/>
  <c r="AG89" i="1"/>
  <c r="AF89" i="1"/>
  <c r="AD89" i="1"/>
  <c r="AC89" i="1"/>
  <c r="AB89" i="1"/>
  <c r="Z89" i="1"/>
  <c r="J89" i="1"/>
  <c r="AL89" i="1" s="1"/>
  <c r="I89" i="1"/>
  <c r="H89" i="1"/>
  <c r="BJ87" i="1"/>
  <c r="BF87" i="1"/>
  <c r="BD87" i="1"/>
  <c r="AX87" i="1"/>
  <c r="BC87" i="1" s="1"/>
  <c r="AW87" i="1"/>
  <c r="AV87" i="1" s="1"/>
  <c r="AP87" i="1"/>
  <c r="BI87" i="1" s="1"/>
  <c r="AE87" i="1" s="1"/>
  <c r="AO87" i="1"/>
  <c r="BH87" i="1" s="1"/>
  <c r="AD87" i="1" s="1"/>
  <c r="AL87" i="1"/>
  <c r="AK87" i="1"/>
  <c r="AJ87" i="1"/>
  <c r="AH87" i="1"/>
  <c r="AG87" i="1"/>
  <c r="AF87" i="1"/>
  <c r="AC87" i="1"/>
  <c r="AB87" i="1"/>
  <c r="Z87" i="1"/>
  <c r="J87" i="1"/>
  <c r="I87" i="1"/>
  <c r="H87" i="1"/>
  <c r="BJ86" i="1"/>
  <c r="BH86" i="1"/>
  <c r="AD86" i="1" s="1"/>
  <c r="BF86" i="1"/>
  <c r="BD86" i="1"/>
  <c r="AX86" i="1"/>
  <c r="AP86" i="1"/>
  <c r="BI86" i="1" s="1"/>
  <c r="AE86" i="1" s="1"/>
  <c r="AO86" i="1"/>
  <c r="AW86" i="1" s="1"/>
  <c r="AV86" i="1" s="1"/>
  <c r="AK86" i="1"/>
  <c r="AJ86" i="1"/>
  <c r="AH86" i="1"/>
  <c r="AG86" i="1"/>
  <c r="AF86" i="1"/>
  <c r="AC86" i="1"/>
  <c r="AB86" i="1"/>
  <c r="Z86" i="1"/>
  <c r="J86" i="1"/>
  <c r="AL86" i="1" s="1"/>
  <c r="I86" i="1"/>
  <c r="AT85" i="1"/>
  <c r="AS85" i="1"/>
  <c r="J85" i="1"/>
  <c r="G20" i="2" s="1"/>
  <c r="I20" i="2" s="1"/>
  <c r="BJ83" i="1"/>
  <c r="BF83" i="1"/>
  <c r="BD83" i="1"/>
  <c r="AW83" i="1"/>
  <c r="AP83" i="1"/>
  <c r="AO83" i="1"/>
  <c r="AK83" i="1"/>
  <c r="AJ83" i="1"/>
  <c r="AH83" i="1"/>
  <c r="AG83" i="1"/>
  <c r="AF83" i="1"/>
  <c r="AC83" i="1"/>
  <c r="AB83" i="1"/>
  <c r="Z83" i="1"/>
  <c r="J83" i="1"/>
  <c r="AL83" i="1" s="1"/>
  <c r="BJ80" i="1"/>
  <c r="BH80" i="1"/>
  <c r="BF80" i="1"/>
  <c r="BD80" i="1"/>
  <c r="AW80" i="1"/>
  <c r="AP80" i="1"/>
  <c r="AX80" i="1" s="1"/>
  <c r="AV80" i="1" s="1"/>
  <c r="AO80" i="1"/>
  <c r="H80" i="1" s="1"/>
  <c r="AK80" i="1"/>
  <c r="AJ80" i="1"/>
  <c r="AH80" i="1"/>
  <c r="AG80" i="1"/>
  <c r="AF80" i="1"/>
  <c r="AD80" i="1"/>
  <c r="AC80" i="1"/>
  <c r="AB80" i="1"/>
  <c r="Z80" i="1"/>
  <c r="J80" i="1"/>
  <c r="AL80" i="1" s="1"/>
  <c r="BJ78" i="1"/>
  <c r="BI78" i="1"/>
  <c r="BF78" i="1"/>
  <c r="BD78" i="1"/>
  <c r="BC78" i="1"/>
  <c r="AX78" i="1"/>
  <c r="AW78" i="1"/>
  <c r="AV78" i="1"/>
  <c r="AP78" i="1"/>
  <c r="AO78" i="1"/>
  <c r="BH78" i="1" s="1"/>
  <c r="AD78" i="1" s="1"/>
  <c r="AL78" i="1"/>
  <c r="AK78" i="1"/>
  <c r="AJ78" i="1"/>
  <c r="AH78" i="1"/>
  <c r="AG78" i="1"/>
  <c r="AF78" i="1"/>
  <c r="AE78" i="1"/>
  <c r="AC78" i="1"/>
  <c r="AB78" i="1"/>
  <c r="Z78" i="1"/>
  <c r="J78" i="1"/>
  <c r="I78" i="1"/>
  <c r="H78" i="1"/>
  <c r="BJ76" i="1"/>
  <c r="BF76" i="1"/>
  <c r="BD76" i="1"/>
  <c r="BC76" i="1"/>
  <c r="AX76" i="1"/>
  <c r="AW76" i="1"/>
  <c r="AP76" i="1"/>
  <c r="BI76" i="1" s="1"/>
  <c r="AO76" i="1"/>
  <c r="BH76" i="1" s="1"/>
  <c r="AK76" i="1"/>
  <c r="AJ76" i="1"/>
  <c r="AH76" i="1"/>
  <c r="AG76" i="1"/>
  <c r="AF76" i="1"/>
  <c r="AE76" i="1"/>
  <c r="AD76" i="1"/>
  <c r="AC76" i="1"/>
  <c r="AB76" i="1"/>
  <c r="Z76" i="1"/>
  <c r="J76" i="1"/>
  <c r="AL76" i="1" s="1"/>
  <c r="I76" i="1"/>
  <c r="H76" i="1"/>
  <c r="BJ73" i="1"/>
  <c r="BF73" i="1"/>
  <c r="BD73" i="1"/>
  <c r="AX73" i="1"/>
  <c r="BC73" i="1" s="1"/>
  <c r="AW73" i="1"/>
  <c r="AP73" i="1"/>
  <c r="BI73" i="1" s="1"/>
  <c r="AO73" i="1"/>
  <c r="BH73" i="1" s="1"/>
  <c r="AL73" i="1"/>
  <c r="AK73" i="1"/>
  <c r="AJ73" i="1"/>
  <c r="AH73" i="1"/>
  <c r="AG73" i="1"/>
  <c r="AF73" i="1"/>
  <c r="AE73" i="1"/>
  <c r="AD73" i="1"/>
  <c r="AC73" i="1"/>
  <c r="AB73" i="1"/>
  <c r="Z73" i="1"/>
  <c r="J73" i="1"/>
  <c r="I73" i="1"/>
  <c r="H73" i="1"/>
  <c r="BJ71" i="1"/>
  <c r="BH71" i="1"/>
  <c r="AD71" i="1" s="1"/>
  <c r="BF71" i="1"/>
  <c r="BD71" i="1"/>
  <c r="BC71" i="1"/>
  <c r="AX71" i="1"/>
  <c r="AP71" i="1"/>
  <c r="BI71" i="1" s="1"/>
  <c r="AE71" i="1" s="1"/>
  <c r="AO71" i="1"/>
  <c r="AW71" i="1" s="1"/>
  <c r="AV71" i="1" s="1"/>
  <c r="AK71" i="1"/>
  <c r="AJ71" i="1"/>
  <c r="AH71" i="1"/>
  <c r="AG71" i="1"/>
  <c r="AF71" i="1"/>
  <c r="AC71" i="1"/>
  <c r="AB71" i="1"/>
  <c r="Z71" i="1"/>
  <c r="J71" i="1"/>
  <c r="AL71" i="1" s="1"/>
  <c r="I71" i="1"/>
  <c r="BJ69" i="1"/>
  <c r="BI69" i="1"/>
  <c r="AE69" i="1" s="1"/>
  <c r="BH69" i="1"/>
  <c r="AD69" i="1" s="1"/>
  <c r="BF69" i="1"/>
  <c r="BD69" i="1"/>
  <c r="AW69" i="1"/>
  <c r="AP69" i="1"/>
  <c r="AX69" i="1" s="1"/>
  <c r="BC69" i="1" s="1"/>
  <c r="AO69" i="1"/>
  <c r="H69" i="1" s="1"/>
  <c r="AK69" i="1"/>
  <c r="AJ69" i="1"/>
  <c r="AS68" i="1" s="1"/>
  <c r="AH69" i="1"/>
  <c r="AG69" i="1"/>
  <c r="AF69" i="1"/>
  <c r="AC69" i="1"/>
  <c r="AB69" i="1"/>
  <c r="Z69" i="1"/>
  <c r="J69" i="1"/>
  <c r="AL69" i="1" s="1"/>
  <c r="AU68" i="1" s="1"/>
  <c r="AT68" i="1"/>
  <c r="J68" i="1"/>
  <c r="G19" i="2" s="1"/>
  <c r="I19" i="2" s="1"/>
  <c r="BJ67" i="1"/>
  <c r="BH67" i="1"/>
  <c r="BF67" i="1"/>
  <c r="BD67" i="1"/>
  <c r="AX67" i="1"/>
  <c r="AW67" i="1"/>
  <c r="AV67" i="1" s="1"/>
  <c r="AP67" i="1"/>
  <c r="AO67" i="1"/>
  <c r="H67" i="1" s="1"/>
  <c r="AK67" i="1"/>
  <c r="AJ67" i="1"/>
  <c r="AH67" i="1"/>
  <c r="AG67" i="1"/>
  <c r="AF67" i="1"/>
  <c r="AD67" i="1"/>
  <c r="AC67" i="1"/>
  <c r="AB67" i="1"/>
  <c r="Z67" i="1"/>
  <c r="J67" i="1"/>
  <c r="AL67" i="1" s="1"/>
  <c r="AU64" i="1" s="1"/>
  <c r="BJ65" i="1"/>
  <c r="BI65" i="1"/>
  <c r="BF65" i="1"/>
  <c r="BD65" i="1"/>
  <c r="AX65" i="1"/>
  <c r="AW65" i="1"/>
  <c r="BC65" i="1" s="1"/>
  <c r="AV65" i="1"/>
  <c r="AP65" i="1"/>
  <c r="I65" i="1" s="1"/>
  <c r="AO65" i="1"/>
  <c r="BH65" i="1" s="1"/>
  <c r="AL65" i="1"/>
  <c r="AK65" i="1"/>
  <c r="AT64" i="1" s="1"/>
  <c r="AJ65" i="1"/>
  <c r="AS64" i="1" s="1"/>
  <c r="AH65" i="1"/>
  <c r="AG65" i="1"/>
  <c r="AF65" i="1"/>
  <c r="AE65" i="1"/>
  <c r="AD65" i="1"/>
  <c r="AC65" i="1"/>
  <c r="AB65" i="1"/>
  <c r="Z65" i="1"/>
  <c r="J65" i="1"/>
  <c r="J64" i="1" s="1"/>
  <c r="H65" i="1"/>
  <c r="H64" i="1"/>
  <c r="BJ62" i="1"/>
  <c r="BI62" i="1"/>
  <c r="AE62" i="1" s="1"/>
  <c r="BF62" i="1"/>
  <c r="BD62" i="1"/>
  <c r="AX62" i="1"/>
  <c r="AP62" i="1"/>
  <c r="AO62" i="1"/>
  <c r="H62" i="1" s="1"/>
  <c r="AK62" i="1"/>
  <c r="AJ62" i="1"/>
  <c r="AH62" i="1"/>
  <c r="AG62" i="1"/>
  <c r="AF62" i="1"/>
  <c r="AC62" i="1"/>
  <c r="AB62" i="1"/>
  <c r="Z62" i="1"/>
  <c r="J62" i="1"/>
  <c r="AL62" i="1" s="1"/>
  <c r="I62" i="1"/>
  <c r="BJ59" i="1"/>
  <c r="BF59" i="1"/>
  <c r="BD59" i="1"/>
  <c r="AP59" i="1"/>
  <c r="AO59" i="1"/>
  <c r="AK59" i="1"/>
  <c r="AT49" i="1" s="1"/>
  <c r="AJ59" i="1"/>
  <c r="AH59" i="1"/>
  <c r="AG59" i="1"/>
  <c r="AF59" i="1"/>
  <c r="AC59" i="1"/>
  <c r="AB59" i="1"/>
  <c r="Z59" i="1"/>
  <c r="J59" i="1"/>
  <c r="AL59" i="1" s="1"/>
  <c r="I59" i="1"/>
  <c r="H59" i="1"/>
  <c r="BJ56" i="1"/>
  <c r="BF56" i="1"/>
  <c r="BD56" i="1"/>
  <c r="AP56" i="1"/>
  <c r="AO56" i="1"/>
  <c r="AL56" i="1"/>
  <c r="AK56" i="1"/>
  <c r="AJ56" i="1"/>
  <c r="AH56" i="1"/>
  <c r="AG56" i="1"/>
  <c r="AF56" i="1"/>
  <c r="AC56" i="1"/>
  <c r="AB56" i="1"/>
  <c r="Z56" i="1"/>
  <c r="J56" i="1"/>
  <c r="BJ53" i="1"/>
  <c r="BF53" i="1"/>
  <c r="BD53" i="1"/>
  <c r="AW53" i="1"/>
  <c r="AP53" i="1"/>
  <c r="AO53" i="1"/>
  <c r="AK53" i="1"/>
  <c r="AJ53" i="1"/>
  <c r="AH53" i="1"/>
  <c r="AG53" i="1"/>
  <c r="AF53" i="1"/>
  <c r="AC53" i="1"/>
  <c r="AB53" i="1"/>
  <c r="Z53" i="1"/>
  <c r="J53" i="1"/>
  <c r="AL53" i="1" s="1"/>
  <c r="BJ50" i="1"/>
  <c r="BH50" i="1"/>
  <c r="BF50" i="1"/>
  <c r="BD50" i="1"/>
  <c r="AW50" i="1"/>
  <c r="AP50" i="1"/>
  <c r="AO50" i="1"/>
  <c r="H50" i="1" s="1"/>
  <c r="AK50" i="1"/>
  <c r="AJ50" i="1"/>
  <c r="AS49" i="1" s="1"/>
  <c r="AH50" i="1"/>
  <c r="AG50" i="1"/>
  <c r="AF50" i="1"/>
  <c r="AD50" i="1"/>
  <c r="AC50" i="1"/>
  <c r="AB50" i="1"/>
  <c r="Z50" i="1"/>
  <c r="J50" i="1"/>
  <c r="AL50" i="1" s="1"/>
  <c r="BJ47" i="1"/>
  <c r="BI47" i="1"/>
  <c r="AC47" i="1" s="1"/>
  <c r="BH47" i="1"/>
  <c r="AB47" i="1" s="1"/>
  <c r="BF47" i="1"/>
  <c r="BD47" i="1"/>
  <c r="AX47" i="1"/>
  <c r="AW47" i="1"/>
  <c r="BC47" i="1" s="1"/>
  <c r="AP47" i="1"/>
  <c r="AO47" i="1"/>
  <c r="AL47" i="1"/>
  <c r="AK47" i="1"/>
  <c r="AJ47" i="1"/>
  <c r="AH47" i="1"/>
  <c r="AG47" i="1"/>
  <c r="AF47" i="1"/>
  <c r="AE47" i="1"/>
  <c r="AD47" i="1"/>
  <c r="Z47" i="1"/>
  <c r="J47" i="1"/>
  <c r="I47" i="1"/>
  <c r="H47" i="1"/>
  <c r="BJ45" i="1"/>
  <c r="BI45" i="1"/>
  <c r="AC45" i="1" s="1"/>
  <c r="BF45" i="1"/>
  <c r="BD45" i="1"/>
  <c r="AX45" i="1"/>
  <c r="AP45" i="1"/>
  <c r="AO45" i="1"/>
  <c r="AK45" i="1"/>
  <c r="AJ45" i="1"/>
  <c r="AH45" i="1"/>
  <c r="AG45" i="1"/>
  <c r="AF45" i="1"/>
  <c r="AE45" i="1"/>
  <c r="AD45" i="1"/>
  <c r="Z45" i="1"/>
  <c r="J45" i="1"/>
  <c r="AL45" i="1" s="1"/>
  <c r="I45" i="1"/>
  <c r="H45" i="1"/>
  <c r="BJ43" i="1"/>
  <c r="BF43" i="1"/>
  <c r="BD43" i="1"/>
  <c r="AP43" i="1"/>
  <c r="AO43" i="1"/>
  <c r="AL43" i="1"/>
  <c r="AK43" i="1"/>
  <c r="AJ43" i="1"/>
  <c r="AH43" i="1"/>
  <c r="AG43" i="1"/>
  <c r="AF43" i="1"/>
  <c r="AE43" i="1"/>
  <c r="AD43" i="1"/>
  <c r="Z43" i="1"/>
  <c r="J43" i="1"/>
  <c r="I43" i="1"/>
  <c r="BJ41" i="1"/>
  <c r="BF41" i="1"/>
  <c r="BD41" i="1"/>
  <c r="AP41" i="1"/>
  <c r="AO41" i="1"/>
  <c r="AK41" i="1"/>
  <c r="AJ41" i="1"/>
  <c r="AH41" i="1"/>
  <c r="AG41" i="1"/>
  <c r="AF41" i="1"/>
  <c r="AE41" i="1"/>
  <c r="AD41" i="1"/>
  <c r="Z41" i="1"/>
  <c r="J41" i="1"/>
  <c r="J40" i="1" s="1"/>
  <c r="G16" i="2" s="1"/>
  <c r="I16" i="2" s="1"/>
  <c r="BJ39" i="1"/>
  <c r="BI39" i="1"/>
  <c r="AC39" i="1" s="1"/>
  <c r="BH39" i="1"/>
  <c r="AB39" i="1" s="1"/>
  <c r="BF39" i="1"/>
  <c r="BD39" i="1"/>
  <c r="AW39" i="1"/>
  <c r="AP39" i="1"/>
  <c r="AX39" i="1" s="1"/>
  <c r="AV39" i="1" s="1"/>
  <c r="AO39" i="1"/>
  <c r="H39" i="1" s="1"/>
  <c r="H38" i="1" s="1"/>
  <c r="E15" i="2" s="1"/>
  <c r="AK39" i="1"/>
  <c r="AJ39" i="1"/>
  <c r="AS38" i="1" s="1"/>
  <c r="AH39" i="1"/>
  <c r="AG39" i="1"/>
  <c r="AF39" i="1"/>
  <c r="AE39" i="1"/>
  <c r="AD39" i="1"/>
  <c r="Z39" i="1"/>
  <c r="J39" i="1"/>
  <c r="AL39" i="1" s="1"/>
  <c r="AU38" i="1"/>
  <c r="AT38" i="1"/>
  <c r="J38" i="1"/>
  <c r="G15" i="2" s="1"/>
  <c r="I15" i="2" s="1"/>
  <c r="BJ35" i="1"/>
  <c r="BH35" i="1"/>
  <c r="BF35" i="1"/>
  <c r="BD35" i="1"/>
  <c r="AX35" i="1"/>
  <c r="AV35" i="1" s="1"/>
  <c r="AW35" i="1"/>
  <c r="AP35" i="1"/>
  <c r="AO35" i="1"/>
  <c r="AK35" i="1"/>
  <c r="AJ35" i="1"/>
  <c r="AH35" i="1"/>
  <c r="AG35" i="1"/>
  <c r="AF35" i="1"/>
  <c r="AE35" i="1"/>
  <c r="AD35" i="1"/>
  <c r="AB35" i="1"/>
  <c r="Z35" i="1"/>
  <c r="J35" i="1"/>
  <c r="AL35" i="1" s="1"/>
  <c r="H35" i="1"/>
  <c r="BJ34" i="1"/>
  <c r="BI34" i="1"/>
  <c r="BF34" i="1"/>
  <c r="BD34" i="1"/>
  <c r="BC34" i="1"/>
  <c r="AX34" i="1"/>
  <c r="AW34" i="1"/>
  <c r="AV34" i="1" s="1"/>
  <c r="AP34" i="1"/>
  <c r="AO34" i="1"/>
  <c r="BH34" i="1" s="1"/>
  <c r="AL34" i="1"/>
  <c r="AK34" i="1"/>
  <c r="AJ34" i="1"/>
  <c r="AH34" i="1"/>
  <c r="AG34" i="1"/>
  <c r="AF34" i="1"/>
  <c r="AE34" i="1"/>
  <c r="AD34" i="1"/>
  <c r="AC34" i="1"/>
  <c r="AB34" i="1"/>
  <c r="Z34" i="1"/>
  <c r="J34" i="1"/>
  <c r="I34" i="1"/>
  <c r="H34" i="1"/>
  <c r="BJ33" i="1"/>
  <c r="BF33" i="1"/>
  <c r="BD33" i="1"/>
  <c r="AX33" i="1"/>
  <c r="BC33" i="1" s="1"/>
  <c r="AW33" i="1"/>
  <c r="AP33" i="1"/>
  <c r="BI33" i="1" s="1"/>
  <c r="AO33" i="1"/>
  <c r="BH33" i="1" s="1"/>
  <c r="AB33" i="1" s="1"/>
  <c r="AK33" i="1"/>
  <c r="AJ33" i="1"/>
  <c r="AH33" i="1"/>
  <c r="AG33" i="1"/>
  <c r="AF33" i="1"/>
  <c r="AE33" i="1"/>
  <c r="AD33" i="1"/>
  <c r="AC33" i="1"/>
  <c r="Z33" i="1"/>
  <c r="J33" i="1"/>
  <c r="AL33" i="1" s="1"/>
  <c r="I33" i="1"/>
  <c r="H33" i="1"/>
  <c r="BJ32" i="1"/>
  <c r="BF32" i="1"/>
  <c r="BD32" i="1"/>
  <c r="AX32" i="1"/>
  <c r="AP32" i="1"/>
  <c r="BI32" i="1" s="1"/>
  <c r="AC32" i="1" s="1"/>
  <c r="AO32" i="1"/>
  <c r="AW32" i="1" s="1"/>
  <c r="AV32" i="1" s="1"/>
  <c r="AL32" i="1"/>
  <c r="AK32" i="1"/>
  <c r="AJ32" i="1"/>
  <c r="AH32" i="1"/>
  <c r="AG32" i="1"/>
  <c r="AF32" i="1"/>
  <c r="AE32" i="1"/>
  <c r="AD32" i="1"/>
  <c r="Z32" i="1"/>
  <c r="J32" i="1"/>
  <c r="I32" i="1"/>
  <c r="BJ29" i="1"/>
  <c r="BH29" i="1"/>
  <c r="AB29" i="1" s="1"/>
  <c r="BF29" i="1"/>
  <c r="BD29" i="1"/>
  <c r="BC29" i="1"/>
  <c r="AP29" i="1"/>
  <c r="AX29" i="1" s="1"/>
  <c r="AO29" i="1"/>
  <c r="AW29" i="1" s="1"/>
  <c r="AK29" i="1"/>
  <c r="AJ29" i="1"/>
  <c r="AH29" i="1"/>
  <c r="AG29" i="1"/>
  <c r="AF29" i="1"/>
  <c r="AE29" i="1"/>
  <c r="AD29" i="1"/>
  <c r="Z29" i="1"/>
  <c r="J29" i="1"/>
  <c r="AL29" i="1" s="1"/>
  <c r="BJ26" i="1"/>
  <c r="BI26" i="1"/>
  <c r="AC26" i="1" s="1"/>
  <c r="BH26" i="1"/>
  <c r="AB26" i="1" s="1"/>
  <c r="BF26" i="1"/>
  <c r="BD26" i="1"/>
  <c r="AW26" i="1"/>
  <c r="AP26" i="1"/>
  <c r="AX26" i="1" s="1"/>
  <c r="AO26" i="1"/>
  <c r="H26" i="1" s="1"/>
  <c r="AK26" i="1"/>
  <c r="AJ26" i="1"/>
  <c r="AH26" i="1"/>
  <c r="AG26" i="1"/>
  <c r="AF26" i="1"/>
  <c r="AE26" i="1"/>
  <c r="AD26" i="1"/>
  <c r="Z26" i="1"/>
  <c r="J26" i="1"/>
  <c r="AL26" i="1" s="1"/>
  <c r="BJ24" i="1"/>
  <c r="BI24" i="1"/>
  <c r="AC24" i="1" s="1"/>
  <c r="BH24" i="1"/>
  <c r="AB24" i="1" s="1"/>
  <c r="BF24" i="1"/>
  <c r="BD24" i="1"/>
  <c r="AX24" i="1"/>
  <c r="AW24" i="1"/>
  <c r="BC24" i="1" s="1"/>
  <c r="AV24" i="1"/>
  <c r="AP24" i="1"/>
  <c r="I24" i="1" s="1"/>
  <c r="AO24" i="1"/>
  <c r="AK24" i="1"/>
  <c r="AJ24" i="1"/>
  <c r="AH24" i="1"/>
  <c r="AG24" i="1"/>
  <c r="AF24" i="1"/>
  <c r="AE24" i="1"/>
  <c r="AD24" i="1"/>
  <c r="Z24" i="1"/>
  <c r="J24" i="1"/>
  <c r="AL24" i="1" s="1"/>
  <c r="H24" i="1"/>
  <c r="BJ23" i="1"/>
  <c r="BF23" i="1"/>
  <c r="BD23" i="1"/>
  <c r="AP23" i="1"/>
  <c r="BI23" i="1" s="1"/>
  <c r="AC23" i="1" s="1"/>
  <c r="AO23" i="1"/>
  <c r="BH23" i="1" s="1"/>
  <c r="AB23" i="1" s="1"/>
  <c r="AK23" i="1"/>
  <c r="AJ23" i="1"/>
  <c r="AH23" i="1"/>
  <c r="AG23" i="1"/>
  <c r="AF23" i="1"/>
  <c r="AE23" i="1"/>
  <c r="AD23" i="1"/>
  <c r="Z23" i="1"/>
  <c r="J23" i="1"/>
  <c r="AL23" i="1" s="1"/>
  <c r="AU22" i="1" s="1"/>
  <c r="I23" i="1"/>
  <c r="H23" i="1"/>
  <c r="AT22" i="1"/>
  <c r="BJ21" i="1"/>
  <c r="BF21" i="1"/>
  <c r="BD21" i="1"/>
  <c r="AX21" i="1"/>
  <c r="AW21" i="1"/>
  <c r="AV21" i="1" s="1"/>
  <c r="AP21" i="1"/>
  <c r="I21" i="1" s="1"/>
  <c r="AO21" i="1"/>
  <c r="BH21" i="1" s="1"/>
  <c r="AB21" i="1" s="1"/>
  <c r="AK21" i="1"/>
  <c r="AT20" i="1" s="1"/>
  <c r="AJ21" i="1"/>
  <c r="AS20" i="1" s="1"/>
  <c r="AH21" i="1"/>
  <c r="AG21" i="1"/>
  <c r="AF21" i="1"/>
  <c r="AE21" i="1"/>
  <c r="AD21" i="1"/>
  <c r="Z21" i="1"/>
  <c r="J21" i="1"/>
  <c r="AL21" i="1" s="1"/>
  <c r="AU20" i="1" s="1"/>
  <c r="H21" i="1"/>
  <c r="J20" i="1"/>
  <c r="G13" i="2" s="1"/>
  <c r="I13" i="2" s="1"/>
  <c r="I20" i="1"/>
  <c r="F13" i="2" s="1"/>
  <c r="H20" i="1"/>
  <c r="E13" i="2" s="1"/>
  <c r="BJ18" i="1"/>
  <c r="BF18" i="1"/>
  <c r="BD18" i="1"/>
  <c r="AP18" i="1"/>
  <c r="AO18" i="1"/>
  <c r="AK18" i="1"/>
  <c r="AT17" i="1" s="1"/>
  <c r="AJ18" i="1"/>
  <c r="AH18" i="1"/>
  <c r="AG18" i="1"/>
  <c r="AF18" i="1"/>
  <c r="AE18" i="1"/>
  <c r="AD18" i="1"/>
  <c r="Z18" i="1"/>
  <c r="J18" i="1"/>
  <c r="J17" i="1" s="1"/>
  <c r="G12" i="2" s="1"/>
  <c r="I12" i="2" s="1"/>
  <c r="I18" i="1"/>
  <c r="I17" i="1" s="1"/>
  <c r="F12" i="2" s="1"/>
  <c r="H18" i="1"/>
  <c r="H17" i="1" s="1"/>
  <c r="AS17" i="1"/>
  <c r="BJ15" i="1"/>
  <c r="BF15" i="1"/>
  <c r="BD15" i="1"/>
  <c r="AP15" i="1"/>
  <c r="AX15" i="1" s="1"/>
  <c r="AO15" i="1"/>
  <c r="AW15" i="1" s="1"/>
  <c r="AK15" i="1"/>
  <c r="AJ15" i="1"/>
  <c r="AH15" i="1"/>
  <c r="AG15" i="1"/>
  <c r="AF15" i="1"/>
  <c r="AE15" i="1"/>
  <c r="AD15" i="1"/>
  <c r="Z15" i="1"/>
  <c r="J15" i="1"/>
  <c r="AL15" i="1" s="1"/>
  <c r="BJ13" i="1"/>
  <c r="BF13" i="1"/>
  <c r="BD13" i="1"/>
  <c r="AP13" i="1"/>
  <c r="AX13" i="1" s="1"/>
  <c r="AO13" i="1"/>
  <c r="H13" i="1" s="1"/>
  <c r="AK13" i="1"/>
  <c r="AJ13" i="1"/>
  <c r="AH13" i="1"/>
  <c r="AG13" i="1"/>
  <c r="AF13" i="1"/>
  <c r="AE13" i="1"/>
  <c r="AD13" i="1"/>
  <c r="Z13" i="1"/>
  <c r="J13" i="1"/>
  <c r="AL13" i="1" s="1"/>
  <c r="J12" i="1"/>
  <c r="AU1" i="1"/>
  <c r="AT1" i="1"/>
  <c r="AS1" i="1"/>
  <c r="H123" i="1" l="1"/>
  <c r="H122" i="1" s="1"/>
  <c r="E27" i="2" s="1"/>
  <c r="AW123" i="1"/>
  <c r="BC123" i="1" s="1"/>
  <c r="AX123" i="1"/>
  <c r="BI123" i="1"/>
  <c r="J122" i="1"/>
  <c r="G27" i="2" s="1"/>
  <c r="I27" i="2" s="1"/>
  <c r="AT12" i="1"/>
  <c r="C19" i="4"/>
  <c r="J22" i="1"/>
  <c r="G14" i="2" s="1"/>
  <c r="I14" i="2" s="1"/>
  <c r="AW23" i="1"/>
  <c r="AV23" i="1" s="1"/>
  <c r="AX23" i="1"/>
  <c r="AS12" i="1"/>
  <c r="BC15" i="1"/>
  <c r="BH15" i="1"/>
  <c r="AB15" i="1" s="1"/>
  <c r="C18" i="4"/>
  <c r="BH13" i="1"/>
  <c r="AB13" i="1" s="1"/>
  <c r="AU12" i="1"/>
  <c r="AW13" i="1"/>
  <c r="BC13" i="1" s="1"/>
  <c r="BI13" i="1"/>
  <c r="AC13" i="1" s="1"/>
  <c r="AV83" i="1"/>
  <c r="AV135" i="1"/>
  <c r="BI41" i="1"/>
  <c r="AC41" i="1" s="1"/>
  <c r="AX41" i="1"/>
  <c r="I50" i="1"/>
  <c r="I49" i="1" s="1"/>
  <c r="F17" i="2" s="1"/>
  <c r="BI50" i="1"/>
  <c r="AE50" i="1" s="1"/>
  <c r="C17" i="4" s="1"/>
  <c r="C20" i="4"/>
  <c r="H137" i="1"/>
  <c r="BH137" i="1"/>
  <c r="AW137" i="1"/>
  <c r="C21" i="4"/>
  <c r="AS22" i="1"/>
  <c r="AL41" i="1"/>
  <c r="AU40" i="1" s="1"/>
  <c r="BH45" i="1"/>
  <c r="AB45" i="1" s="1"/>
  <c r="AW45" i="1"/>
  <c r="AU102" i="1"/>
  <c r="AL109" i="1"/>
  <c r="J102" i="1"/>
  <c r="G23" i="2" s="1"/>
  <c r="I23" i="2" s="1"/>
  <c r="BH114" i="1"/>
  <c r="AB114" i="1" s="1"/>
  <c r="AW114" i="1"/>
  <c r="H139" i="1"/>
  <c r="BH139" i="1"/>
  <c r="AW139" i="1"/>
  <c r="H149" i="1"/>
  <c r="E32" i="2" s="1"/>
  <c r="AX154" i="1"/>
  <c r="AV154" i="1" s="1"/>
  <c r="I154" i="1"/>
  <c r="I153" i="1" s="1"/>
  <c r="F33" i="2" s="1"/>
  <c r="BI154" i="1"/>
  <c r="AT40" i="1"/>
  <c r="AV15" i="1"/>
  <c r="AV33" i="1"/>
  <c r="I41" i="1"/>
  <c r="I40" i="1" s="1"/>
  <c r="F16" i="2" s="1"/>
  <c r="H41" i="1"/>
  <c r="H40" i="1" s="1"/>
  <c r="E16" i="2" s="1"/>
  <c r="BH41" i="1"/>
  <c r="AB41" i="1" s="1"/>
  <c r="AW41" i="1"/>
  <c r="AV73" i="1"/>
  <c r="BC90" i="1"/>
  <c r="AV103" i="1"/>
  <c r="AU126" i="1"/>
  <c r="BC135" i="1"/>
  <c r="BI139" i="1"/>
  <c r="AX139" i="1"/>
  <c r="AU149" i="1"/>
  <c r="AX150" i="1"/>
  <c r="AV150" i="1" s="1"/>
  <c r="I150" i="1"/>
  <c r="I149" i="1" s="1"/>
  <c r="F32" i="2" s="1"/>
  <c r="BI150" i="1"/>
  <c r="H56" i="1"/>
  <c r="BH56" i="1"/>
  <c r="AD56" i="1" s="1"/>
  <c r="AW56" i="1"/>
  <c r="BH100" i="1"/>
  <c r="AD100" i="1" s="1"/>
  <c r="AW100" i="1"/>
  <c r="BI56" i="1"/>
  <c r="AE56" i="1" s="1"/>
  <c r="AX56" i="1"/>
  <c r="AU49" i="1"/>
  <c r="BC80" i="1"/>
  <c r="BH43" i="1"/>
  <c r="AB43" i="1" s="1"/>
  <c r="AW43" i="1"/>
  <c r="BC112" i="1"/>
  <c r="AT145" i="1"/>
  <c r="AL18" i="1"/>
  <c r="BC21" i="1"/>
  <c r="I35" i="1"/>
  <c r="BI35" i="1"/>
  <c r="AC35" i="1" s="1"/>
  <c r="BI43" i="1"/>
  <c r="AC43" i="1" s="1"/>
  <c r="AX43" i="1"/>
  <c r="AV69" i="1"/>
  <c r="H83" i="1"/>
  <c r="BH83" i="1"/>
  <c r="AD83" i="1" s="1"/>
  <c r="AU85" i="1"/>
  <c r="BC91" i="1"/>
  <c r="BC131" i="1"/>
  <c r="I145" i="1"/>
  <c r="AU145" i="1"/>
  <c r="F37" i="5"/>
  <c r="I37" i="5" s="1"/>
  <c r="BH62" i="1"/>
  <c r="AD62" i="1" s="1"/>
  <c r="AW62" i="1"/>
  <c r="I45" i="5"/>
  <c r="I24" i="4" s="1"/>
  <c r="BC150" i="1"/>
  <c r="AL125" i="1"/>
  <c r="AU124" i="1" s="1"/>
  <c r="J124" i="1"/>
  <c r="G28" i="2" s="1"/>
  <c r="I28" i="2" s="1"/>
  <c r="C27" i="4"/>
  <c r="I91" i="1"/>
  <c r="I85" i="1" s="1"/>
  <c r="F20" i="2" s="1"/>
  <c r="BI91" i="1"/>
  <c r="AE91" i="1" s="1"/>
  <c r="AX91" i="1"/>
  <c r="AV91" i="1" s="1"/>
  <c r="C28" i="4"/>
  <c r="F28" i="4" s="1"/>
  <c r="BC32" i="1"/>
  <c r="H43" i="1"/>
  <c r="BH18" i="1"/>
  <c r="AB18" i="1" s="1"/>
  <c r="AW18" i="1"/>
  <c r="AS40" i="1"/>
  <c r="H53" i="1"/>
  <c r="H49" i="1" s="1"/>
  <c r="E17" i="2" s="1"/>
  <c r="BH53" i="1"/>
  <c r="AD53" i="1" s="1"/>
  <c r="C16" i="4" s="1"/>
  <c r="BH59" i="1"/>
  <c r="AD59" i="1" s="1"/>
  <c r="AW59" i="1"/>
  <c r="I67" i="1"/>
  <c r="I64" i="1" s="1"/>
  <c r="F18" i="2" s="1"/>
  <c r="BI67" i="1"/>
  <c r="AE67" i="1" s="1"/>
  <c r="I83" i="1"/>
  <c r="BI83" i="1"/>
  <c r="AE83" i="1" s="1"/>
  <c r="AX83" i="1"/>
  <c r="BC86" i="1"/>
  <c r="BC97" i="1"/>
  <c r="H109" i="1"/>
  <c r="H102" i="1" s="1"/>
  <c r="E23" i="2" s="1"/>
  <c r="BH109" i="1"/>
  <c r="AD109" i="1" s="1"/>
  <c r="AW109" i="1"/>
  <c r="G31" i="2"/>
  <c r="I31" i="2" s="1"/>
  <c r="J144" i="1"/>
  <c r="G30" i="2" s="1"/>
  <c r="H146" i="1"/>
  <c r="H145" i="1" s="1"/>
  <c r="BH146" i="1"/>
  <c r="AW146" i="1"/>
  <c r="I80" i="1"/>
  <c r="BI80" i="1"/>
  <c r="AE80" i="1" s="1"/>
  <c r="H100" i="1"/>
  <c r="H99" i="1" s="1"/>
  <c r="E22" i="2" s="1"/>
  <c r="I56" i="1"/>
  <c r="H125" i="1"/>
  <c r="H124" i="1" s="1"/>
  <c r="E28" i="2" s="1"/>
  <c r="BH125" i="1"/>
  <c r="AW125" i="1"/>
  <c r="I107" i="1"/>
  <c r="I102" i="1" s="1"/>
  <c r="F23" i="2" s="1"/>
  <c r="AX107" i="1"/>
  <c r="AV107" i="1" s="1"/>
  <c r="BI107" i="1"/>
  <c r="AE107" i="1" s="1"/>
  <c r="I125" i="1"/>
  <c r="I124" i="1" s="1"/>
  <c r="F28" i="2" s="1"/>
  <c r="BI125" i="1"/>
  <c r="AX125" i="1"/>
  <c r="BC26" i="1"/>
  <c r="BC39" i="1"/>
  <c r="BI18" i="1"/>
  <c r="AC18" i="1" s="1"/>
  <c r="AX18" i="1"/>
  <c r="AV29" i="1"/>
  <c r="BC35" i="1"/>
  <c r="I53" i="1"/>
  <c r="BI53" i="1"/>
  <c r="AE53" i="1" s="1"/>
  <c r="AX53" i="1"/>
  <c r="AV53" i="1" s="1"/>
  <c r="BI59" i="1"/>
  <c r="AE59" i="1" s="1"/>
  <c r="AX59" i="1"/>
  <c r="AV76" i="1"/>
  <c r="H93" i="1"/>
  <c r="BH93" i="1"/>
  <c r="AD93" i="1" s="1"/>
  <c r="AW93" i="1"/>
  <c r="I109" i="1"/>
  <c r="BI109" i="1"/>
  <c r="AE109" i="1" s="1"/>
  <c r="AX109" i="1"/>
  <c r="AV116" i="1"/>
  <c r="AV129" i="1"/>
  <c r="BI146" i="1"/>
  <c r="AX146" i="1"/>
  <c r="AS149" i="1"/>
  <c r="H151" i="1"/>
  <c r="BH151" i="1"/>
  <c r="AW151" i="1"/>
  <c r="BC89" i="1"/>
  <c r="I137" i="1"/>
  <c r="BI137" i="1"/>
  <c r="AX137" i="1"/>
  <c r="BH141" i="1"/>
  <c r="AW141" i="1"/>
  <c r="AS145" i="1"/>
  <c r="G11" i="2"/>
  <c r="I11" i="2" s="1"/>
  <c r="AX50" i="1"/>
  <c r="AV50" i="1" s="1"/>
  <c r="BC67" i="1"/>
  <c r="BC83" i="1"/>
  <c r="I93" i="1"/>
  <c r="BI93" i="1"/>
  <c r="AE93" i="1" s="1"/>
  <c r="AX93" i="1"/>
  <c r="BC105" i="1"/>
  <c r="AL114" i="1"/>
  <c r="AU113" i="1" s="1"/>
  <c r="J126" i="1"/>
  <c r="G29" i="2" s="1"/>
  <c r="I29" i="2" s="1"/>
  <c r="I135" i="1"/>
  <c r="I126" i="1" s="1"/>
  <c r="F29" i="2" s="1"/>
  <c r="AX135" i="1"/>
  <c r="BI135" i="1"/>
  <c r="I139" i="1"/>
  <c r="BI151" i="1"/>
  <c r="AX151" i="1"/>
  <c r="BI15" i="1"/>
  <c r="AC15" i="1" s="1"/>
  <c r="C15" i="4" s="1"/>
  <c r="BI29" i="1"/>
  <c r="AC29" i="1" s="1"/>
  <c r="BH32" i="1"/>
  <c r="AB32" i="1" s="1"/>
  <c r="BI97" i="1"/>
  <c r="AE97" i="1" s="1"/>
  <c r="BI112" i="1"/>
  <c r="AC112" i="1" s="1"/>
  <c r="BI127" i="1"/>
  <c r="BH129" i="1"/>
  <c r="I13" i="1"/>
  <c r="H15" i="1"/>
  <c r="H12" i="1" s="1"/>
  <c r="E11" i="2" s="1"/>
  <c r="I26" i="1"/>
  <c r="H29" i="1"/>
  <c r="I39" i="1"/>
  <c r="I38" i="1" s="1"/>
  <c r="F15" i="2" s="1"/>
  <c r="J49" i="1"/>
  <c r="G17" i="2" s="1"/>
  <c r="I17" i="2" s="1"/>
  <c r="I69" i="1"/>
  <c r="I68" i="1" s="1"/>
  <c r="F19" i="2" s="1"/>
  <c r="H71" i="1"/>
  <c r="H68" i="1" s="1"/>
  <c r="E19" i="2" s="1"/>
  <c r="H86" i="1"/>
  <c r="H85" i="1" s="1"/>
  <c r="E20" i="2" s="1"/>
  <c r="H97" i="1"/>
  <c r="H96" i="1" s="1"/>
  <c r="E21" i="2" s="1"/>
  <c r="H112" i="1"/>
  <c r="H111" i="1" s="1"/>
  <c r="E24" i="2" s="1"/>
  <c r="H127" i="1"/>
  <c r="H126" i="1" s="1"/>
  <c r="E29" i="2" s="1"/>
  <c r="J149" i="1"/>
  <c r="G32" i="2" s="1"/>
  <c r="I32" i="2" s="1"/>
  <c r="J153" i="1"/>
  <c r="G33" i="2" s="1"/>
  <c r="I33" i="2" s="1"/>
  <c r="I15" i="1"/>
  <c r="BI21" i="1"/>
  <c r="AC21" i="1" s="1"/>
  <c r="I29" i="1"/>
  <c r="I22" i="1" s="1"/>
  <c r="F14" i="2" s="1"/>
  <c r="H32" i="1"/>
  <c r="H22" i="1" s="1"/>
  <c r="E14" i="2" s="1"/>
  <c r="AV47" i="1"/>
  <c r="AX100" i="1"/>
  <c r="AX114" i="1"/>
  <c r="AX141" i="1"/>
  <c r="AW142" i="1"/>
  <c r="AW147" i="1"/>
  <c r="AW152" i="1"/>
  <c r="AV13" i="1"/>
  <c r="AV26" i="1"/>
  <c r="AV123" i="1" l="1"/>
  <c r="BC23" i="1"/>
  <c r="AV146" i="1"/>
  <c r="BC146" i="1"/>
  <c r="BC141" i="1"/>
  <c r="AV141" i="1"/>
  <c r="I144" i="1"/>
  <c r="F30" i="2" s="1"/>
  <c r="F31" i="2"/>
  <c r="AU17" i="1"/>
  <c r="C29" i="4"/>
  <c r="F29" i="4" s="1"/>
  <c r="BC100" i="1"/>
  <c r="AV100" i="1"/>
  <c r="BC56" i="1"/>
  <c r="AV56" i="1"/>
  <c r="BC125" i="1"/>
  <c r="AV125" i="1"/>
  <c r="AV139" i="1"/>
  <c r="BC139" i="1"/>
  <c r="BC93" i="1"/>
  <c r="AV93" i="1"/>
  <c r="BC18" i="1"/>
  <c r="AV18" i="1"/>
  <c r="BC152" i="1"/>
  <c r="AV152" i="1"/>
  <c r="C14" i="4"/>
  <c r="C22" i="4" s="1"/>
  <c r="BC62" i="1"/>
  <c r="AV62" i="1"/>
  <c r="BC50" i="1"/>
  <c r="BC154" i="1"/>
  <c r="BC59" i="1"/>
  <c r="AV59" i="1"/>
  <c r="BC53" i="1"/>
  <c r="BC45" i="1"/>
  <c r="AV45" i="1"/>
  <c r="BC107" i="1"/>
  <c r="BC43" i="1"/>
  <c r="AV43" i="1"/>
  <c r="BC41" i="1"/>
  <c r="AV41" i="1"/>
  <c r="BC147" i="1"/>
  <c r="AV147" i="1"/>
  <c r="I12" i="1"/>
  <c r="F11" i="2" s="1"/>
  <c r="G34" i="2"/>
  <c r="BC114" i="1"/>
  <c r="AV114" i="1"/>
  <c r="BC137" i="1"/>
  <c r="AV137" i="1"/>
  <c r="E31" i="2"/>
  <c r="H144" i="1"/>
  <c r="E30" i="2" s="1"/>
  <c r="BC109" i="1"/>
  <c r="AV109" i="1"/>
  <c r="AV151" i="1"/>
  <c r="BC151" i="1"/>
  <c r="BC142" i="1"/>
  <c r="AV142" i="1"/>
  <c r="J155" i="1"/>
  <c r="I28" i="4" l="1"/>
  <c r="I29" i="4" s="1"/>
</calcChain>
</file>

<file path=xl/sharedStrings.xml><?xml version="1.0" encoding="utf-8"?>
<sst xmlns="http://schemas.openxmlformats.org/spreadsheetml/2006/main" count="1331" uniqueCount="444">
  <si>
    <t>Slepý stavební rozpočet</t>
  </si>
  <si>
    <t>Název stavby:</t>
  </si>
  <si>
    <t>Hala posypových hmot SO01 Růžodol</t>
  </si>
  <si>
    <t>Doba výstavby:</t>
  </si>
  <si>
    <t xml:space="preserve"> </t>
  </si>
  <si>
    <t>Objednatel:</t>
  </si>
  <si>
    <t> </t>
  </si>
  <si>
    <t>Druh stavby:</t>
  </si>
  <si>
    <t>Sklad</t>
  </si>
  <si>
    <t>Začátek výstavby:</t>
  </si>
  <si>
    <t>27.02.2024</t>
  </si>
  <si>
    <t>Projektant:</t>
  </si>
  <si>
    <t>Lokalita:</t>
  </si>
  <si>
    <t>Růžodol</t>
  </si>
  <si>
    <t>Konec výstavby:</t>
  </si>
  <si>
    <t>Zhotovitel:</t>
  </si>
  <si>
    <t>JKSO:</t>
  </si>
  <si>
    <t>Zpracováno dne:</t>
  </si>
  <si>
    <t>Zpracoval:</t>
  </si>
  <si>
    <t>Č</t>
  </si>
  <si>
    <t>Kód</t>
  </si>
  <si>
    <t>Zkrácený popis / Varianta</t>
  </si>
  <si>
    <t>MJ</t>
  </si>
  <si>
    <t>Množství</t>
  </si>
  <si>
    <t>Cena/MJ</t>
  </si>
  <si>
    <t>Náklady (Kč)</t>
  </si>
  <si>
    <t>Cenová</t>
  </si>
  <si>
    <t>ISWORK</t>
  </si>
  <si>
    <t>GROUPCODE</t>
  </si>
  <si>
    <t>VATTAX</t>
  </si>
  <si>
    <t>Rozměry</t>
  </si>
  <si>
    <t>(Kč)</t>
  </si>
  <si>
    <t>Dodávka</t>
  </si>
  <si>
    <t>Montáž</t>
  </si>
  <si>
    <t>Celkem</t>
  </si>
  <si>
    <t>soustava</t>
  </si>
  <si>
    <t>Přesuny</t>
  </si>
  <si>
    <t>Typ skupiny</t>
  </si>
  <si>
    <t>HSV mat</t>
  </si>
  <si>
    <t>HSV prac</t>
  </si>
  <si>
    <t>PSV mat</t>
  </si>
  <si>
    <t>PSV prac</t>
  </si>
  <si>
    <t>Mont mat</t>
  </si>
  <si>
    <t>Mont prac</t>
  </si>
  <si>
    <t>Ostatní mat.</t>
  </si>
  <si>
    <t>MAT</t>
  </si>
  <si>
    <t>WORK</t>
  </si>
  <si>
    <t>CELK</t>
  </si>
  <si>
    <t/>
  </si>
  <si>
    <t>11</t>
  </si>
  <si>
    <t>Přípravné a přidružené práce</t>
  </si>
  <si>
    <t>1</t>
  </si>
  <si>
    <t>113107425R00</t>
  </si>
  <si>
    <t>Odstranění podkladu nad 50 m2,kam.těžené tl.25 cm</t>
  </si>
  <si>
    <t>m2</t>
  </si>
  <si>
    <t>RTS II / 2023</t>
  </si>
  <si>
    <t>11_</t>
  </si>
  <si>
    <t>1_</t>
  </si>
  <si>
    <t>_</t>
  </si>
  <si>
    <t>RTS komentář:</t>
  </si>
  <si>
    <t>Položka je určena i pro odstranění podkladů nebo krytů ze štěrkopísku, škváry, strusky nebo z mechanicky zpevněných zemin. Pro volbu položky z hlediska množství se uvažuje každá souvisle odstraňovaná plocha krytu nebo podkladu stejného druhu samostatně.Odstraňuje-li se několik vrstev vozovky najednou, jednotlivé vrstvy se oceňují každá samostatně</t>
  </si>
  <si>
    <t>2</t>
  </si>
  <si>
    <t>113108409R00</t>
  </si>
  <si>
    <t>Odstranění asfaltové vrstvy pl.nad 50 m2, tl. 9 cm</t>
  </si>
  <si>
    <t>Položka není určena pro odstranění podkladu nebo krytu frézováním. Pro volbu položky z hlediska množství se uvažuje každá souvisle odstraňovaná plocha krytu nebo podkladu stejného druhu samostatně.Odstraňuje-li se několik vrstev vozovky najednou, jednotlivé vrstvy se oceňují každá samostatně</t>
  </si>
  <si>
    <t>13</t>
  </si>
  <si>
    <t>Hloubené vykopávky</t>
  </si>
  <si>
    <t>3</t>
  </si>
  <si>
    <t>131101113R00</t>
  </si>
  <si>
    <t>Hloubení nezapaž. jam hor.2 do 10000 m3, STROJNĚ</t>
  </si>
  <si>
    <t>m3</t>
  </si>
  <si>
    <t>13_</t>
  </si>
  <si>
    <t>Položka obsahuje hloubení jámy, naložení výkopku na dopravní prostředek pro svislé, nebo vodorovné přemístění, popř. přemístění výkopku do 3 m (po povrchu území), případné zajištění rypadel polštáři, udržování pracoviště a ochranu výkopiště proti stékání srážkové vody z okolního terénu i s jejím odvodněním, nebo odvedením, přesekání a odstranění kořenů ve výkopišti, odstranění napadávek, urovnání dna výkopu</t>
  </si>
  <si>
    <t>16</t>
  </si>
  <si>
    <t>Přemístění výkopku</t>
  </si>
  <si>
    <t>4</t>
  </si>
  <si>
    <t>162601101R00</t>
  </si>
  <si>
    <t>Vodorovné přemístění výkopku z hor.1-4 do 4000 m</t>
  </si>
  <si>
    <t>16_</t>
  </si>
  <si>
    <t>27</t>
  </si>
  <si>
    <t>Základy</t>
  </si>
  <si>
    <t>5</t>
  </si>
  <si>
    <t>271531113R00</t>
  </si>
  <si>
    <t>Polštář základu z kameniva hr. drceného 16-32 mm</t>
  </si>
  <si>
    <t>27_</t>
  </si>
  <si>
    <t>2_</t>
  </si>
  <si>
    <t>6</t>
  </si>
  <si>
    <t>273321311R00</t>
  </si>
  <si>
    <t>Železobeton základových desek C 16/20</t>
  </si>
  <si>
    <t>Položka obsahuje náklady na dodávku a uložení betonu do připravené konstrukce. Bednění a výztuž se oceňuje samostatně.</t>
  </si>
  <si>
    <t>7</t>
  </si>
  <si>
    <t>273361921RT5</t>
  </si>
  <si>
    <t>Výztuž základových desek ze svařovaných sítí</t>
  </si>
  <si>
    <t>t</t>
  </si>
  <si>
    <t>Varianta:</t>
  </si>
  <si>
    <t>KH 20, drát d 6,0 mm, oko 150 x 150 mm</t>
  </si>
  <si>
    <t>V položce jsou zakalkulovány náklady na dodání plošně rovných sítí, jejich uložení a případné stříhání a její vyvázání nebo přivaření bodovými svary. Položka neobsahuje ohýbání sítí do hran.</t>
  </si>
  <si>
    <t>8</t>
  </si>
  <si>
    <t>273323411RV1</t>
  </si>
  <si>
    <t>Železobeton základových desek  C 25/30 XC2</t>
  </si>
  <si>
    <t>varianta XC2</t>
  </si>
  <si>
    <t>Položka obsahuje náklady na dodávku a uložení betonu do připravené konstrukce. Bednění a výztuž se oceňuje samostatně</t>
  </si>
  <si>
    <t>9</t>
  </si>
  <si>
    <t>273351215R00</t>
  </si>
  <si>
    <t>Bednění stěn základových desek - zřízení</t>
  </si>
  <si>
    <t>10</t>
  </si>
  <si>
    <t>273351216R00</t>
  </si>
  <si>
    <t>Bednění stěn základových desek - odstranění</t>
  </si>
  <si>
    <t>273361214R00</t>
  </si>
  <si>
    <t>Výztuž základových desek, do12 mm z oceli B500B (10 505)</t>
  </si>
  <si>
    <t>12</t>
  </si>
  <si>
    <t>28</t>
  </si>
  <si>
    <t>Zpevňování hornin a konstrukcí</t>
  </si>
  <si>
    <t>289970111R00</t>
  </si>
  <si>
    <t>Vrstva geotextilie Geofiltex 300g/m2</t>
  </si>
  <si>
    <t>28_</t>
  </si>
  <si>
    <t>31</t>
  </si>
  <si>
    <t>Zdi podpěrné a volné</t>
  </si>
  <si>
    <t>14</t>
  </si>
  <si>
    <t>311351805R00</t>
  </si>
  <si>
    <t>Bednění nadzákladových zdí pohledových hladkých, oboustranné - zřízení</t>
  </si>
  <si>
    <t>31_</t>
  </si>
  <si>
    <t>3_</t>
  </si>
  <si>
    <t>Bednění pro pohledový hladký beton. Do měrných jednotek se zadává plocha obou stran</t>
  </si>
  <si>
    <t>15</t>
  </si>
  <si>
    <t>311351112R00</t>
  </si>
  <si>
    <t>Bednění nadzákladových zdí, oboustranné přesné - odstranění</t>
  </si>
  <si>
    <t>Položka se používá v nezapažených prostorách: a) pro masivní betonové konstrukce vyžadující tuhost bednění a únosnost tlaku čerstvé betonové směsi přes 40 do 80 kN/m2 b) při požadované přesnosrti povrchu betonové konstrukce podle tř.5 nebo 6 dle ČSN c) pro docílení požadovaného kvalitního hladkého povrchu pohledového betonu, bez dalších zednických úprav (omítek, nástřiků apod.</t>
  </si>
  <si>
    <t>311321000R00</t>
  </si>
  <si>
    <t>Uložení betonu nadzákladové zdi, vyztuženého</t>
  </si>
  <si>
    <t>Položka obsahuje náklady na uložení betonu do připravené konstrukce. Bednění a výztuž se oceňují samostatně. Položka se používá i pro zdivo výplňové, obkladové, půdní, nadstřešní, poprsní, římsové apod. Položka neobsahuje dodávku betonu</t>
  </si>
  <si>
    <t>17</t>
  </si>
  <si>
    <t>311361821R00</t>
  </si>
  <si>
    <t>Výztuž nadzákladových zdí z betonářské oceli B500B (10 505)</t>
  </si>
  <si>
    <t>V položce jsou zakalkulovány náklady na dodání nastříhané a naohýbané výztuže, podložek, distančních vložek, drátu, skob apod., dále náklady na uložení výztuže a její vyvázání nebo přivaření bodovými svary</t>
  </si>
  <si>
    <t>711</t>
  </si>
  <si>
    <t>Izolace proti vodě</t>
  </si>
  <si>
    <t>18</t>
  </si>
  <si>
    <t>711111001RZ2</t>
  </si>
  <si>
    <t>Provedení izolace proti vlhkosti na ploše vodorovné, 1x asfaltovým penetračním nátěrem</t>
  </si>
  <si>
    <t>711_</t>
  </si>
  <si>
    <t>71_</t>
  </si>
  <si>
    <t>včetně dodávky asfaltového penetračního laku</t>
  </si>
  <si>
    <t>Plochy izolací jednotlivě menší než 10 m2 se oceňují s příplatkem položka číslo 711 19 - 9095. Při stanovení množství izolace se z celkového množství neodečítají otvory nebo neizolované plochy menší než 2 m2.  V položce jsou zakalkulovány i náklady na dodávku ALP v množství 0,33 kg/m2</t>
  </si>
  <si>
    <t>19</t>
  </si>
  <si>
    <t>711141559RZ3</t>
  </si>
  <si>
    <t>Provedení izolace proti vlhkosti na ploše vodorovné, asfaltovými pásy přitavením</t>
  </si>
  <si>
    <t>1 vrstva - včetně dodávky Sklobit G</t>
  </si>
  <si>
    <t>Plochy izolací jednotlivě menší než 10 m2 se oceňují s příplatkem položka číslo 711 19 - 9097. Při stanovení množství izolace se z celkového množství neodečítají otvory nebo neizolované plochy menší než 2 m2</t>
  </si>
  <si>
    <t>20</t>
  </si>
  <si>
    <t>711112001RZ1</t>
  </si>
  <si>
    <t>Provedení izolace proti vlhkosti na ploše svislé, 1x asfaltovým penetračním nátěr</t>
  </si>
  <si>
    <t>včetně dodávky asfaltového laku</t>
  </si>
  <si>
    <t>Položka je určena pro provádění za studena. Plochy izolací jednotlivě menší než 10 m2 se oceňují s příplatkem položka číslo 711 19 - 9095. Při stanovení množství izolace se z celkového množství neodečítají otvory nebo neizolované plochy menší než 1 m2. V položce jsou zakalkulovány i náklady na dodávku ALP v množství 0,35 kg/m2</t>
  </si>
  <si>
    <t>21</t>
  </si>
  <si>
    <t>711142559RY1</t>
  </si>
  <si>
    <t>Provedení izolace proti vlhkosti na ploše svislé, asfaltovými pásy přitavením</t>
  </si>
  <si>
    <t>1 vrstva - včetně dod. Elastek 40 special mineral</t>
  </si>
  <si>
    <t>Plochy izolací jednotlivě menší než 10 m2 se oceňují s příplatkem položka číslo 711 19 - 9097. Při stanovení množství izolace se z celkového množství neodečítají otvory nebo neizolované plochy menší než 1 m2</t>
  </si>
  <si>
    <t>22</t>
  </si>
  <si>
    <t>711823121RT4</t>
  </si>
  <si>
    <t>Montáž nopové fólie svisle</t>
  </si>
  <si>
    <t>včetně dodávky fólie GUTTABETA N</t>
  </si>
  <si>
    <t>712</t>
  </si>
  <si>
    <t>Izolace střech (živičné krytiny)</t>
  </si>
  <si>
    <t>23</t>
  </si>
  <si>
    <t>712341559R00</t>
  </si>
  <si>
    <t>Provedení povlakové krytiny střech do 10°, asfaltovými pásy, přitavení celoplošně</t>
  </si>
  <si>
    <t>712_</t>
  </si>
  <si>
    <t>Povlaková krytina je provedena pásy přitavenými v plné ploše. Plochy povlakové krytiny střech jednotlivě menší než 10 m2 se oceňují s příplatkem položka číslo 712 39-9097</t>
  </si>
  <si>
    <t>24</t>
  </si>
  <si>
    <t>712491587R00</t>
  </si>
  <si>
    <t>Provedení povlakové krytiny střech do 30°, přibití pásů nebo fólií hřebíky (drátěnkami)</t>
  </si>
  <si>
    <t>762</t>
  </si>
  <si>
    <t>Konstrukce tesařské</t>
  </si>
  <si>
    <t>25</t>
  </si>
  <si>
    <t>762112120RT3</t>
  </si>
  <si>
    <t>Montáž konstrukce stěn z řeziva hraněn. do 224 cm2</t>
  </si>
  <si>
    <t>m</t>
  </si>
  <si>
    <t>762_</t>
  </si>
  <si>
    <t>76_</t>
  </si>
  <si>
    <t>včetně dodávky řeziva, hranoly 140 x 160 mm</t>
  </si>
  <si>
    <t>26</t>
  </si>
  <si>
    <t>762131124RT3</t>
  </si>
  <si>
    <t>Montáž bednění stěn, prkna hrubá do 32 mm, na sraz</t>
  </si>
  <si>
    <t>včetně dodávky řeziva, prkna tl. 24 mm</t>
  </si>
  <si>
    <t>762332130RT3</t>
  </si>
  <si>
    <t>Montáž vázaných krovů pravidelných do 288 cm2</t>
  </si>
  <si>
    <t>včetně dodávky řeziva, hranoly 16/18</t>
  </si>
  <si>
    <t>Položka je určena pro montáž vázaných konstrukcí krovů střech pultových, sedlových, valbových, stanových čtvercového nebo obdélníkového půdorysu</t>
  </si>
  <si>
    <t>762341210RT2</t>
  </si>
  <si>
    <t>Montáž bednění střech rovných, prkna hrubá na sraz</t>
  </si>
  <si>
    <t>včetně dodávky prken tloušťky 24 mm</t>
  </si>
  <si>
    <t>29</t>
  </si>
  <si>
    <t>762395000R00</t>
  </si>
  <si>
    <t>Spojovací a ochranné prostředky pro střechy</t>
  </si>
  <si>
    <t>Položka je určena pouze pro soubory:  762 33 Montáž vázaných konstrukcí krovů 762 34 Montáž bednění a laťování, 762 35 Montáž nadstřešních konstrukcí, 762 36 Montáž spádových klínů.</t>
  </si>
  <si>
    <t>30</t>
  </si>
  <si>
    <t>762714150R00</t>
  </si>
  <si>
    <t>Montáž vázan.konstr.hraněných do 600 cm2 ocel. spojkami</t>
  </si>
  <si>
    <t>Lepené vazníky v počtu 8 ks dle VD výrobce</t>
  </si>
  <si>
    <t>Položka je určena pro montáž prostorových vázaných konstrukcí z řeziva hraněného, průřezové plochy do 600 cm2, pomocí ocelových spojek stavebního systému pro spojování dřeva. V ceně jsou započteny i náklady na osazení ocelových spojek stavebního systému pro spojování dřeva. V položce nejsou zakalkulovány náklady na:  - dodávku řeziva, tato dodávka se oceňuje ve specifikaci, ztratné se doporučuje ve výši 8 %  - dodávku ocelových spojek stavebního systému pro spojování dřeva, tato dodávka se oceňuje ve specifikaci  - montáž hmoždinek a táhel které se oceňují položkami souboru 762 31 Montáž hmoždineka táhel  - spojovací a ochranné prostředky které se oceňují pol.č. 762 79-5000 tohoto ceníku.</t>
  </si>
  <si>
    <t>762112110R00</t>
  </si>
  <si>
    <t>Montáž konstrukce stěn z řeziva hraněn. do 120 cm2</t>
  </si>
  <si>
    <t>V položce není zakalkulována dodávka řeziva.Tato dodávka se oceňuje ve specifikaci, ztratné se doporučuje ve výši 10%</t>
  </si>
  <si>
    <t>764</t>
  </si>
  <si>
    <t>Konstrukce klempířské</t>
  </si>
  <si>
    <t>32</t>
  </si>
  <si>
    <t>764291240R00</t>
  </si>
  <si>
    <t>Závětrná lišta z Cu plechu, rš 500 mm</t>
  </si>
  <si>
    <t>764_</t>
  </si>
  <si>
    <t>33</t>
  </si>
  <si>
    <t>764223220R00</t>
  </si>
  <si>
    <t>Oplechování okapů Cu, živičná krytina, rš 250 mm</t>
  </si>
  <si>
    <t>Položka je kalkulována včetně oplechování rohů, spojů a dilatací a včetně podkladního plechu.</t>
  </si>
  <si>
    <t>34</t>
  </si>
  <si>
    <t>764701235R00</t>
  </si>
  <si>
    <t>Odpadní trouba PVC Marley kruhová, DN 125 mm</t>
  </si>
  <si>
    <t>35</t>
  </si>
  <si>
    <t>764701215R00</t>
  </si>
  <si>
    <t>Žlabový kotlík PVC Marley půlkruh. pro žlab 125 mm</t>
  </si>
  <si>
    <t>kus</t>
  </si>
  <si>
    <t>36</t>
  </si>
  <si>
    <t>764701206R00</t>
  </si>
  <si>
    <t>Žlab okapový PVC Marley půlkruhový šířky 150 mm</t>
  </si>
  <si>
    <t>včetně držáku, spojky, ukončen</t>
  </si>
  <si>
    <t>37</t>
  </si>
  <si>
    <t>764908302RT3</t>
  </si>
  <si>
    <t>Lindab, oplechování parapetů, rš 250 mm</t>
  </si>
  <si>
    <t>plech FOP/PO tl.0,6 mm</t>
  </si>
  <si>
    <t>Dodávka a montáž oplechování parapetu z plechu tl. 0,5 mm s povrchovou úpravou PE (polyester). RŠ 250 mm.</t>
  </si>
  <si>
    <t>766</t>
  </si>
  <si>
    <t>Konstrukce truhlářské</t>
  </si>
  <si>
    <t>38</t>
  </si>
  <si>
    <t>766412113R00</t>
  </si>
  <si>
    <t>Obložení stěn nad 1 m2 palubkami SM, š. do 15 cm</t>
  </si>
  <si>
    <t>766_</t>
  </si>
  <si>
    <t>V položce jsou zakalkulovány i náklady na našroubování soklu.V položce nejsou zakalkulovány náklady na montáž podkladového roštu, tato montáž se oceňuje položkou 766 41 7111, náklady na dodání obkladového materiálu, tato dodávka se oceňuje ve specifikaci, ztratné se doporučuje ve výši 4%. Položka není určena pro oceňování obložení sloupů zakřiveného průřezu, toto obložení se oceňuje individuální kalkulací</t>
  </si>
  <si>
    <t>767</t>
  </si>
  <si>
    <t>Konstrukce doplňkové stavební (zámečnické)</t>
  </si>
  <si>
    <t>39</t>
  </si>
  <si>
    <t>767871110R00</t>
  </si>
  <si>
    <t>Ocelový revizní žebřík D+M</t>
  </si>
  <si>
    <t>kg</t>
  </si>
  <si>
    <t>767_</t>
  </si>
  <si>
    <t>viz tabulka záměčnických výrobků č.v.D.1.1.- 113</t>
  </si>
  <si>
    <t>783</t>
  </si>
  <si>
    <t>Nátěry</t>
  </si>
  <si>
    <t>40</t>
  </si>
  <si>
    <t>783782221R00</t>
  </si>
  <si>
    <t>Nátěr tesařských konstrukcí Lignofix I Profi 2x</t>
  </si>
  <si>
    <t>783_</t>
  </si>
  <si>
    <t>78_</t>
  </si>
  <si>
    <t>Lignofix I-Profi koncentrát je určený k preventivní povrchové impregnaci materiálů na bázi dřeva a dřeva proti dřevokaznému hmyzu a k ošetření dřeva, které je již napadeno dřevokazným hmyzem v interiérech (třída ohrožení 1, 2) a v exteriérech bez přímého a trvalého kontaktu s vodou a se zemní vlhkostí (třída ohrožení 3). Nanáší se ředěný na očištěné dřevo. Neovlivňuje funkčnost kontaktních difuzních folií</t>
  </si>
  <si>
    <t>41</t>
  </si>
  <si>
    <t>783710020RAB</t>
  </si>
  <si>
    <t>Nátěr tesařských konstrukcí lazurovacím lakem</t>
  </si>
  <si>
    <t>dvojnásobný Luxolem</t>
  </si>
  <si>
    <t>42</t>
  </si>
  <si>
    <t>783896210RT1</t>
  </si>
  <si>
    <t>Penetrace betonových podkladů BASF 1x</t>
  </si>
  <si>
    <t>PCI Gisogrund PGM</t>
  </si>
  <si>
    <t>43</t>
  </si>
  <si>
    <t>783896211R00</t>
  </si>
  <si>
    <t>Nátěr betonových povrchů akrylátový BASF 2x email</t>
  </si>
  <si>
    <t>Akrylátový email vrchní dvojnásobný vodou ředitelný. Odolný povětrnosti a mechanickému poškození. V položce nejsou zakalkulovány náklady na penetrační nátěr. Oceňuje se položkou č.78389-6210</t>
  </si>
  <si>
    <t>84</t>
  </si>
  <si>
    <t>Potrubí z trub plastových</t>
  </si>
  <si>
    <t>44</t>
  </si>
  <si>
    <t>843318111R00</t>
  </si>
  <si>
    <t>Drenáže pro měř.zařízení, z trub z PVC, DN 150 mm</t>
  </si>
  <si>
    <t>84_</t>
  </si>
  <si>
    <t>8_</t>
  </si>
  <si>
    <t>93</t>
  </si>
  <si>
    <t>Různé dokončovací konstrukce a práce inženýrských staveb</t>
  </si>
  <si>
    <t>45</t>
  </si>
  <si>
    <t>935111111R00</t>
  </si>
  <si>
    <t>Osazení přík. žlabu do štěrkopísku z tvárnic 50 cm</t>
  </si>
  <si>
    <t>93_</t>
  </si>
  <si>
    <t>9_</t>
  </si>
  <si>
    <t>94</t>
  </si>
  <si>
    <t>Lešení a stavební výtahy</t>
  </si>
  <si>
    <t>46</t>
  </si>
  <si>
    <t>941941031RT4</t>
  </si>
  <si>
    <t>Montáž lešení leh.řad.s podlahami,š.do 1 m, H 10 m</t>
  </si>
  <si>
    <t>94_</t>
  </si>
  <si>
    <t>lešení rámové pronajaté</t>
  </si>
  <si>
    <t>Položka je kalkulována pro fasádní rámové lešení a nečlenitou fasádu. Pro fasádu členitou je vhodné použít individuální kalkulaci</t>
  </si>
  <si>
    <t>47</t>
  </si>
  <si>
    <t>941941831RT4</t>
  </si>
  <si>
    <t>Demontáž lešení leh.řad.s podlahami,š.1 m, H 10 m</t>
  </si>
  <si>
    <t>Položka je kalkulována pro fasádní rámové lešení SPRINT, pro nečlenitou fasádu. Pro fasádu členitou je vhodné použít individuální kalkulaci</t>
  </si>
  <si>
    <t>H01</t>
  </si>
  <si>
    <t>Budovy občanské výstavby</t>
  </si>
  <si>
    <t>48</t>
  </si>
  <si>
    <t>998012022R00</t>
  </si>
  <si>
    <t>Přesun hmot pro budovy monolitické výšky do 12 m</t>
  </si>
  <si>
    <t>H01_</t>
  </si>
  <si>
    <t>H711</t>
  </si>
  <si>
    <t>49</t>
  </si>
  <si>
    <t>998711102R00</t>
  </si>
  <si>
    <t>Přesun hmot pro izolace proti vodě, výšky do 12 m</t>
  </si>
  <si>
    <t>H711_</t>
  </si>
  <si>
    <t>Ostatní materiál</t>
  </si>
  <si>
    <t>50</t>
  </si>
  <si>
    <t>589314411</t>
  </si>
  <si>
    <t>Beton C 30/37 - XF4 - Dmax 22 mm - S3 - struskoportlandský CEM II</t>
  </si>
  <si>
    <t>0</t>
  </si>
  <si>
    <t>Z99999_</t>
  </si>
  <si>
    <t>Z_</t>
  </si>
  <si>
    <t>(CZ  F.1) - předpokládaná životnost 50 let XF4 - stupeň vlivu prostředí - střídavé působení mrazu a rozmrazování (mrazové cykly) - značně nasycen vodou, s rozmrazovacími prostředky nebo mořskou vodou</t>
  </si>
  <si>
    <t>51</t>
  </si>
  <si>
    <t>628522598</t>
  </si>
  <si>
    <t>Pás asfaltový modifikovaný ELASTODEK 50 SPECIAL dekor šedý, natavovací</t>
  </si>
  <si>
    <t>PYE PV250 S5 Hydroizolační pás z modifikovaného asfaltu s vložkou z polyesterového rouna a s povrchovou úpravou barevným hrubozrnným posypem. Na vrchní straně je provedena úprava krajů o šíři 8 - 10 cm z důvodu překrytí a spojování pásu natavením.  vložka nosná  - polyesterové rouno povrchová úprava - vrchní - hrubozrnný šedý posyp  - spodní - PE fólie tloušťka pásu  - 5,2 mm rozměr pásu  - 7,5 x 1 m počet kotoučů na paletě 15</t>
  </si>
  <si>
    <t>52</t>
  </si>
  <si>
    <t>62852265</t>
  </si>
  <si>
    <t>Pás asfaltový modifikovaný GLASTEK 40 SPECIAL mineral, natavovací, kotvicí</t>
  </si>
  <si>
    <t>pás hydroizolační z modifikovaného asfaltu vložka nosná  - skleněná tkanina  povrchová úprava - vrchní - minerální jemnozrný posyp  - spodní - PE fólie tloušťka pásu  - 4,0 mm rozměr pásu  - 7,5 x 1 m</t>
  </si>
  <si>
    <t>53</t>
  </si>
  <si>
    <t>60515862</t>
  </si>
  <si>
    <t>Hranol konstrukční KVH NSi, SM, 100 x 100 - 140 x 160 mm, 4 - 6 m</t>
  </si>
  <si>
    <t>Stavební masivní dřevo KVH  Sušené hoblované hranoly určené pro skryté i pohledové konstrukce.</t>
  </si>
  <si>
    <t>54</t>
  </si>
  <si>
    <t>553926011</t>
  </si>
  <si>
    <t>Okapnice profil Al</t>
  </si>
  <si>
    <t>2 m Přímý balkonový profil z lakovaného hliníku tloušťky 0,6 mm opatřený ochrannou fólií, barva šedá RAL7001, l = 2000 mm. Karton 60 bm</t>
  </si>
  <si>
    <t>55</t>
  </si>
  <si>
    <t>59227516</t>
  </si>
  <si>
    <t>Žlab odvodňovací TBZ 50/50/13</t>
  </si>
  <si>
    <t>Dílce pro vedení povrchové vod</t>
  </si>
  <si>
    <t>56</t>
  </si>
  <si>
    <t>61191684</t>
  </si>
  <si>
    <t>Palubka obkladová SM jakost A/B, tl. 19 mm, šířka 116 mm</t>
  </si>
  <si>
    <t>jakost I</t>
  </si>
  <si>
    <t>57</t>
  </si>
  <si>
    <t>60510062</t>
  </si>
  <si>
    <t>Lať impregnovaná SM jakost I-II 40 x 60 mm, 4 m</t>
  </si>
  <si>
    <t>58</t>
  </si>
  <si>
    <t>60510991</t>
  </si>
  <si>
    <t>Prkno šírkově tříděné SM tl. 25 mm, 3 - 5 m</t>
  </si>
  <si>
    <t>šířkově tříděná stavební prkn</t>
  </si>
  <si>
    <t>VORN - Vedlejší a ostatní rozpočtové náklady</t>
  </si>
  <si>
    <t>01VRN</t>
  </si>
  <si>
    <t>Průzkumy, geodetické a projektové práce</t>
  </si>
  <si>
    <t>59</t>
  </si>
  <si>
    <t>012002VRN</t>
  </si>
  <si>
    <t>Geodetické práce</t>
  </si>
  <si>
    <t>Soubor</t>
  </si>
  <si>
    <t>99</t>
  </si>
  <si>
    <t>01VRN_</t>
  </si>
  <si>
    <t> _</t>
  </si>
  <si>
    <t>60</t>
  </si>
  <si>
    <t>013002VRN</t>
  </si>
  <si>
    <t>Projektové práce</t>
  </si>
  <si>
    <t>Výrobní dokumentace žel. bet. konstrukcí, lepených vazníků včetně statického výpočtu,
Projekt skutečného provedení stavby</t>
  </si>
  <si>
    <t>03VRN</t>
  </si>
  <si>
    <t>Zařízení staveniště</t>
  </si>
  <si>
    <t>61</t>
  </si>
  <si>
    <t>030001VRN</t>
  </si>
  <si>
    <t>03VRN_</t>
  </si>
  <si>
    <t>62</t>
  </si>
  <si>
    <t>033002VRN</t>
  </si>
  <si>
    <t>Připojení na energie a jejich spotřeba</t>
  </si>
  <si>
    <t>63</t>
  </si>
  <si>
    <t>039002VRN</t>
  </si>
  <si>
    <t>Odstranění zařízení staveniště</t>
  </si>
  <si>
    <t>06VRN</t>
  </si>
  <si>
    <t>Územní vlivy</t>
  </si>
  <si>
    <t>64</t>
  </si>
  <si>
    <t>065002VRN</t>
  </si>
  <si>
    <t>Mimostaveništní doprava</t>
  </si>
  <si>
    <t>06VRN_</t>
  </si>
  <si>
    <t>Celkem:</t>
  </si>
  <si>
    <t>Poznámka:</t>
  </si>
  <si>
    <t>Slepý stavební rozpočet - rekapitulace</t>
  </si>
  <si>
    <t>Objekt</t>
  </si>
  <si>
    <t>Zkrácený popis</t>
  </si>
  <si>
    <t>Náklady (Kč) - dodávka</t>
  </si>
  <si>
    <t>Náklady (Kč) - Montáž</t>
  </si>
  <si>
    <t>Náklady (Kč) - celkem</t>
  </si>
  <si>
    <t>T</t>
  </si>
  <si>
    <t>F</t>
  </si>
  <si>
    <t>Výkaz výměr</t>
  </si>
  <si>
    <t>Potřebné množství</t>
  </si>
  <si>
    <t>Krycí list slepého rozpočtu</t>
  </si>
  <si>
    <t>IČO/DIČ:</t>
  </si>
  <si>
    <t>Položek:</t>
  </si>
  <si>
    <t>Datum:</t>
  </si>
  <si>
    <t>Rozpočtové náklady v Kč</t>
  </si>
  <si>
    <t>A</t>
  </si>
  <si>
    <t>Základní rozpočtové náklady</t>
  </si>
  <si>
    <t>B</t>
  </si>
  <si>
    <t>Doplňkové náklady</t>
  </si>
  <si>
    <t>C</t>
  </si>
  <si>
    <t>Náklady na umístění stavby (NUS)</t>
  </si>
  <si>
    <t>HSV</t>
  </si>
  <si>
    <t>Dodávky</t>
  </si>
  <si>
    <t>Práce přesčas</t>
  </si>
  <si>
    <t>Bez pevné podl.</t>
  </si>
  <si>
    <t>Mimostav. doprava</t>
  </si>
  <si>
    <t>PSV</t>
  </si>
  <si>
    <t>Kulturní památka</t>
  </si>
  <si>
    <t>Provozní vlivy</t>
  </si>
  <si>
    <t>"M"</t>
  </si>
  <si>
    <t>Ostatní</t>
  </si>
  <si>
    <t>NUS z rozpočtu</t>
  </si>
  <si>
    <t>Přesun hmot a sutí</t>
  </si>
  <si>
    <t>ZRN celkem</t>
  </si>
  <si>
    <t>DN celkem</t>
  </si>
  <si>
    <t>NUS celkem</t>
  </si>
  <si>
    <t>DN celkem z obj.</t>
  </si>
  <si>
    <t>NUS celkem z obj.</t>
  </si>
  <si>
    <t>VORN celkem</t>
  </si>
  <si>
    <t>VORN celkem z obj.</t>
  </si>
  <si>
    <t>Základ 0%</t>
  </si>
  <si>
    <t>Základ 12%</t>
  </si>
  <si>
    <t>DPH 12%</t>
  </si>
  <si>
    <t>Celkem bez DPH</t>
  </si>
  <si>
    <t>Základ 21%</t>
  </si>
  <si>
    <t>DPH 21%</t>
  </si>
  <si>
    <t>Celkem včetně DPH</t>
  </si>
  <si>
    <t>Projektant</t>
  </si>
  <si>
    <t>Objednatel</t>
  </si>
  <si>
    <t>Zhotovitel</t>
  </si>
  <si>
    <t>Datum, razítko a podpis</t>
  </si>
  <si>
    <t>Vedlejší a ostatní rozpočtové náklady</t>
  </si>
  <si>
    <t>Vedlejší rozpočtové náklady VRN</t>
  </si>
  <si>
    <t>Doplňkové náklady DN</t>
  </si>
  <si>
    <t>Kč</t>
  </si>
  <si>
    <t>%</t>
  </si>
  <si>
    <t>Základna</t>
  </si>
  <si>
    <t>Celkem DN</t>
  </si>
  <si>
    <t>Celkem NUS</t>
  </si>
  <si>
    <t>Celkem VRN</t>
  </si>
  <si>
    <t>Vedlejší a ostatní rozpočtové náklady VORN</t>
  </si>
  <si>
    <t>Ostatní rozpočtové náklady (VORN)</t>
  </si>
  <si>
    <t>Příprava staveniště</t>
  </si>
  <si>
    <t>Inženýrské činnosti</t>
  </si>
  <si>
    <t>Finanční náklady</t>
  </si>
  <si>
    <t>Náklady na pracovníky</t>
  </si>
  <si>
    <t>Ostatní náklady</t>
  </si>
  <si>
    <t>Vlastní VORN</t>
  </si>
  <si>
    <t>Celkem VORN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</si>
</sst>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Calibri"/>
      <charset val="1"/>
    </font>
    <font>
      <sz val="18"/>
      <color rgb="FF000000"/>
      <name val="Arial"/>
      <charset val="238"/>
    </font>
    <font>
      <b/>
      <sz val="10"/>
      <color rgb="FF000000"/>
      <name val="Arial"/>
      <charset val="238"/>
    </font>
    <font>
      <sz val="10"/>
      <color rgb="FF000000"/>
      <name val="Arial"/>
      <charset val="238"/>
    </font>
    <font>
      <i/>
      <sz val="10"/>
      <color rgb="FF000000"/>
      <name val="Arial"/>
      <charset val="238"/>
    </font>
    <font>
      <i/>
      <sz val="8"/>
      <color rgb="FF000000"/>
      <name val="Arial"/>
      <charset val="238"/>
    </font>
    <font>
      <b/>
      <sz val="18"/>
      <color rgb="FF000000"/>
      <name val="Arial"/>
      <charset val="238"/>
    </font>
    <font>
      <b/>
      <sz val="20"/>
      <color rgb="FF000000"/>
      <name val="Arial"/>
      <charset val="238"/>
    </font>
    <font>
      <b/>
      <sz val="11"/>
      <color rgb="FF000000"/>
      <name val="Arial"/>
      <charset val="238"/>
    </font>
    <font>
      <b/>
      <sz val="12"/>
      <color rgb="FF000000"/>
      <name val="Arial"/>
      <charset val="238"/>
    </font>
    <font>
      <sz val="12"/>
      <color rgb="FF000000"/>
      <name val="Arial"/>
      <charset val="238"/>
    </font>
  </fonts>
  <fills count="6">
    <fill>
      <patternFill patternType="none"/>
    </fill>
    <fill>
      <patternFill patternType="gray125"/>
    </fill>
    <fill>
      <patternFill patternType="solid">
        <fgColor rgb="FFC0C0C0"/>
        <bgColor rgb="FFC0C0C0"/>
      </patternFill>
    </fill>
    <fill>
      <patternFill patternType="solid">
        <fgColor rgb="FFCCFFFF"/>
        <bgColor rgb="FFCCFFFF"/>
      </patternFill>
    </fill>
    <fill>
      <patternFill patternType="solid">
        <fgColor rgb="FFFFFFFF"/>
        <bgColor rgb="FFFFFFFF"/>
      </patternFill>
    </fill>
    <fill>
      <patternFill patternType="solid">
        <fgColor theme="0" tint="-0.249977111117893"/>
        <bgColor rgb="FFCCFFFF"/>
      </patternFill>
    </fill>
  </fills>
  <borders count="94">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diagonal/>
    </border>
    <border>
      <left/>
      <right/>
      <top/>
      <bottom/>
      <diagonal/>
    </border>
    <border>
      <left/>
      <right style="thin">
        <color rgb="FF000000"/>
      </right>
      <top/>
      <bottom style="thin">
        <color rgb="FF000000"/>
      </bottom>
      <diagonal/>
    </border>
    <border>
      <left style="thin">
        <color rgb="FF000000"/>
      </left>
      <right style="thin">
        <color rgb="FF000000"/>
      </right>
      <top style="medium">
        <color rgb="FF000000"/>
      </top>
      <bottom/>
      <diagonal/>
    </border>
    <border>
      <left/>
      <right style="thin">
        <color rgb="FF000000"/>
      </right>
      <top style="medium">
        <color rgb="FF000000"/>
      </top>
      <bottom/>
      <diagonal/>
    </border>
    <border>
      <left/>
      <right/>
      <top style="medium">
        <color rgb="FF000000"/>
      </top>
      <bottom/>
      <diagonal/>
    </border>
    <border>
      <left/>
      <right style="thin">
        <color rgb="FF000000"/>
      </right>
      <top style="medium">
        <color rgb="FF000000"/>
      </top>
      <bottom/>
      <diagonal/>
    </border>
    <border>
      <left/>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style="medium">
        <color rgb="FF000000"/>
      </top>
      <bottom/>
      <diagonal/>
    </border>
    <border>
      <left/>
      <right style="thin">
        <color rgb="FF000000"/>
      </right>
      <top/>
      <bottom/>
      <diagonal/>
    </border>
    <border>
      <left style="thin">
        <color rgb="FF000000"/>
      </left>
      <right style="thin">
        <color rgb="FF000000"/>
      </right>
      <top/>
      <bottom style="medium">
        <color rgb="FF000000"/>
      </bottom>
      <diagonal/>
    </border>
    <border>
      <left/>
      <right style="thin">
        <color rgb="FF000000"/>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right/>
      <top/>
      <bottom style="medium">
        <color rgb="FF000000"/>
      </bottom>
      <diagonal/>
    </border>
    <border>
      <left style="medium">
        <color rgb="FF000000"/>
      </left>
      <right style="thin">
        <color rgb="FF000000"/>
      </right>
      <top/>
      <bottom style="medium">
        <color rgb="FF000000"/>
      </bottom>
      <diagonal/>
    </border>
    <border>
      <left/>
      <right style="thin">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rgb="FF000000"/>
      </bottom>
      <diagonal/>
    </border>
    <border>
      <left/>
      <right style="thin">
        <color rgb="FF000000"/>
      </right>
      <top/>
      <bottom/>
      <diagonal/>
    </border>
    <border>
      <left style="thin">
        <color rgb="FF000000"/>
      </left>
      <right/>
      <top/>
      <bottom/>
      <diagonal/>
    </border>
    <border>
      <left/>
      <right/>
      <top/>
      <bottom/>
      <diagonal/>
    </border>
    <border>
      <left style="thin">
        <color rgb="FF000000"/>
      </left>
      <right/>
      <top/>
      <bottom/>
      <diagonal/>
    </border>
    <border>
      <left/>
      <right/>
      <top/>
      <bottom/>
      <diagonal/>
    </border>
    <border>
      <left style="thin">
        <color rgb="FFC0C0C0"/>
      </left>
      <right/>
      <top/>
      <bottom/>
      <diagonal/>
    </border>
    <border>
      <left/>
      <right/>
      <top/>
      <bottom/>
      <diagonal/>
    </border>
    <border>
      <left/>
      <right style="thin">
        <color rgb="FF000000"/>
      </right>
      <top/>
      <bottom/>
      <diagonal/>
    </border>
    <border>
      <left style="thin">
        <color rgb="FF000000"/>
      </left>
      <right/>
      <top/>
      <bottom/>
      <diagonal/>
    </border>
    <border>
      <left/>
      <right/>
      <top/>
      <bottom/>
      <diagonal/>
    </border>
    <border>
      <left style="thin">
        <color rgb="FF000000"/>
      </left>
      <right/>
      <top/>
      <bottom style="thin">
        <color rgb="FF000000"/>
      </bottom>
      <diagonal/>
    </border>
    <border>
      <left/>
      <right/>
      <top/>
      <bottom style="thin">
        <color rgb="FF000000"/>
      </bottom>
      <diagonal/>
    </border>
    <border>
      <left/>
      <right/>
      <top/>
      <bottom/>
      <diagonal/>
    </border>
    <border>
      <left/>
      <right style="thin">
        <color rgb="FF000000"/>
      </right>
      <top/>
      <bottom/>
      <diagonal/>
    </border>
    <border>
      <left style="medium">
        <color rgb="FF000000"/>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right style="thin">
        <color rgb="FF000000"/>
      </right>
      <top style="medium">
        <color rgb="FF000000"/>
      </top>
      <bottom/>
      <diagonal/>
    </border>
    <border>
      <left style="thin">
        <color rgb="FF000000"/>
      </left>
      <right style="thin">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bottom/>
      <diagonal/>
    </border>
    <border>
      <left/>
      <right style="thin">
        <color rgb="FF000000"/>
      </right>
      <top/>
      <bottom/>
      <diagonal/>
    </border>
    <border>
      <left/>
      <right style="thin">
        <color rgb="FF000000"/>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diagonal/>
    </border>
    <border>
      <left style="medium">
        <color rgb="FF000000"/>
      </left>
      <right/>
      <top/>
      <bottom/>
      <diagonal/>
    </border>
    <border>
      <left/>
      <right style="medium">
        <color rgb="FF000000"/>
      </right>
      <top/>
      <bottom/>
      <diagonal/>
    </border>
    <border>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right style="medium">
        <color rgb="FF000000"/>
      </right>
      <top style="medium">
        <color rgb="FF000000"/>
      </top>
      <bottom style="thin">
        <color rgb="FF000000"/>
      </bottom>
      <diagonal/>
    </border>
    <border>
      <left style="thin">
        <color rgb="FF000000"/>
      </left>
      <right/>
      <top/>
      <bottom/>
      <diagonal/>
    </border>
    <border>
      <left/>
      <right/>
      <top/>
      <bottom/>
      <diagonal/>
    </border>
    <border>
      <left/>
      <right style="thin">
        <color rgb="FF000000"/>
      </right>
      <top/>
      <bottom/>
      <diagonal/>
    </border>
    <border>
      <left/>
      <right style="thin">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thin">
        <color auto="1"/>
      </right>
      <top/>
      <bottom/>
      <diagonal/>
    </border>
  </borders>
  <cellStyleXfs count="1">
    <xf numFmtId="0" fontId="0" fillId="0" borderId="0"/>
  </cellStyleXfs>
  <cellXfs count="202">
    <xf numFmtId="0" fontId="0" fillId="0" borderId="0" xfId="0"/>
    <xf numFmtId="4" fontId="2" fillId="2" borderId="0" xfId="0" applyNumberFormat="1" applyFont="1" applyFill="1" applyAlignment="1">
      <alignment horizontal="right" vertical="center"/>
    </xf>
    <xf numFmtId="0" fontId="3" fillId="0" borderId="5" xfId="0" applyFont="1" applyBorder="1" applyAlignment="1">
      <alignment horizontal="left" vertical="center"/>
    </xf>
    <xf numFmtId="0" fontId="3" fillId="0" borderId="0" xfId="0" applyFont="1" applyAlignment="1">
      <alignment horizontal="left" vertical="center"/>
    </xf>
    <xf numFmtId="0" fontId="2" fillId="0" borderId="0" xfId="0" applyFont="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1" xfId="0" applyFont="1" applyBorder="1" applyAlignment="1">
      <alignment horizontal="center" vertical="center"/>
    </xf>
    <xf numFmtId="0" fontId="2" fillId="0" borderId="18" xfId="0" applyFont="1" applyBorder="1" applyAlignment="1">
      <alignment horizontal="center" vertical="center"/>
    </xf>
    <xf numFmtId="0" fontId="0" fillId="0" borderId="19" xfId="0" applyBorder="1"/>
    <xf numFmtId="0" fontId="2" fillId="2" borderId="0" xfId="0" applyFont="1" applyFill="1" applyAlignment="1">
      <alignment horizontal="right" vertical="center"/>
    </xf>
    <xf numFmtId="0" fontId="2" fillId="0" borderId="0" xfId="0" applyFont="1" applyAlignment="1">
      <alignment horizontal="right" vertical="center"/>
    </xf>
    <xf numFmtId="0" fontId="3" fillId="0" borderId="20" xfId="0" applyFont="1" applyBorder="1" applyAlignment="1">
      <alignment horizontal="left" vertical="center"/>
    </xf>
    <xf numFmtId="0" fontId="3" fillId="0" borderId="21" xfId="0" applyFont="1" applyBorder="1" applyAlignment="1">
      <alignment horizontal="left"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0" fillId="0" borderId="29" xfId="0" applyBorder="1"/>
    <xf numFmtId="0" fontId="3" fillId="2" borderId="30" xfId="0" applyFont="1" applyFill="1" applyBorder="1" applyAlignment="1">
      <alignment horizontal="left" vertical="center"/>
    </xf>
    <xf numFmtId="0" fontId="2" fillId="2" borderId="31" xfId="0" applyFont="1" applyFill="1" applyBorder="1" applyAlignment="1">
      <alignment horizontal="left" vertical="center"/>
    </xf>
    <xf numFmtId="0" fontId="3" fillId="2" borderId="31" xfId="0" applyFont="1" applyFill="1" applyBorder="1" applyAlignment="1">
      <alignment horizontal="left" vertical="center"/>
    </xf>
    <xf numFmtId="4" fontId="2" fillId="2" borderId="31" xfId="0" applyNumberFormat="1" applyFont="1" applyFill="1" applyBorder="1" applyAlignment="1">
      <alignment horizontal="right" vertical="center"/>
    </xf>
    <xf numFmtId="0" fontId="2" fillId="2" borderId="31" xfId="0" applyFont="1" applyFill="1" applyBorder="1" applyAlignment="1">
      <alignment horizontal="right" vertical="center"/>
    </xf>
    <xf numFmtId="0" fontId="0" fillId="0" borderId="6" xfId="0" applyBorder="1"/>
    <xf numFmtId="4" fontId="3" fillId="0" borderId="0" xfId="0" applyNumberFormat="1" applyFont="1" applyAlignment="1">
      <alignment horizontal="right" vertical="center"/>
    </xf>
    <xf numFmtId="4" fontId="3" fillId="3" borderId="0" xfId="0" applyNumberFormat="1" applyFont="1" applyFill="1" applyAlignment="1" applyProtection="1">
      <alignment horizontal="right" vertical="center"/>
      <protection locked="0"/>
    </xf>
    <xf numFmtId="0" fontId="3" fillId="0" borderId="0" xfId="0" applyFont="1" applyAlignment="1">
      <alignment horizontal="right" vertical="center"/>
    </xf>
    <xf numFmtId="0" fontId="0" fillId="0" borderId="5" xfId="0" applyBorder="1"/>
    <xf numFmtId="0" fontId="4" fillId="0" borderId="0" xfId="0" applyFont="1" applyAlignment="1">
      <alignment horizontal="right" vertical="center"/>
    </xf>
    <xf numFmtId="0" fontId="3" fillId="2" borderId="5" xfId="0" applyFont="1" applyFill="1" applyBorder="1" applyAlignment="1">
      <alignment horizontal="left" vertical="center"/>
    </xf>
    <xf numFmtId="0" fontId="2" fillId="2" borderId="0" xfId="0" applyFont="1" applyFill="1" applyAlignment="1">
      <alignment horizontal="left" vertical="center"/>
    </xf>
    <xf numFmtId="0" fontId="3" fillId="2" borderId="0" xfId="0" applyFont="1" applyFill="1" applyAlignment="1">
      <alignment horizontal="left" vertical="center"/>
    </xf>
    <xf numFmtId="0" fontId="0" fillId="0" borderId="32" xfId="0" applyBorder="1"/>
    <xf numFmtId="0" fontId="4" fillId="0" borderId="33" xfId="0" applyFont="1" applyBorder="1" applyAlignment="1">
      <alignment horizontal="right" vertical="center"/>
    </xf>
    <xf numFmtId="0" fontId="3" fillId="4" borderId="34" xfId="0" applyFont="1" applyFill="1" applyBorder="1" applyAlignment="1">
      <alignment horizontal="left" vertical="center"/>
    </xf>
    <xf numFmtId="0" fontId="3" fillId="4" borderId="35" xfId="0" applyFont="1" applyFill="1" applyBorder="1" applyAlignment="1">
      <alignment horizontal="left" vertical="center"/>
    </xf>
    <xf numFmtId="4" fontId="3" fillId="4" borderId="35" xfId="0" applyNumberFormat="1" applyFont="1" applyFill="1" applyBorder="1" applyAlignment="1">
      <alignment horizontal="right" vertical="center"/>
    </xf>
    <xf numFmtId="4" fontId="3" fillId="3" borderId="35" xfId="0" applyNumberFormat="1" applyFont="1" applyFill="1" applyBorder="1" applyAlignment="1" applyProtection="1">
      <alignment horizontal="right" vertical="center"/>
      <protection locked="0"/>
    </xf>
    <xf numFmtId="0" fontId="3" fillId="4" borderId="35" xfId="0" applyFont="1" applyFill="1" applyBorder="1" applyAlignment="1">
      <alignment horizontal="right" vertical="center"/>
    </xf>
    <xf numFmtId="0" fontId="0" fillId="0" borderId="36" xfId="0" applyBorder="1"/>
    <xf numFmtId="0" fontId="0" fillId="0" borderId="37" xfId="0" applyBorder="1"/>
    <xf numFmtId="0" fontId="4" fillId="0" borderId="38" xfId="0" applyFont="1" applyBorder="1" applyAlignment="1">
      <alignment horizontal="right" vertical="center"/>
    </xf>
    <xf numFmtId="0" fontId="3" fillId="0" borderId="39" xfId="0" applyFont="1" applyBorder="1" applyAlignment="1">
      <alignment horizontal="left" vertical="center"/>
    </xf>
    <xf numFmtId="0" fontId="3" fillId="0" borderId="40" xfId="0" applyFont="1" applyBorder="1" applyAlignment="1">
      <alignment horizontal="left" vertical="center"/>
    </xf>
    <xf numFmtId="4" fontId="3" fillId="0" borderId="40" xfId="0" applyNumberFormat="1" applyFont="1" applyBorder="1" applyAlignment="1">
      <alignment horizontal="right" vertical="center"/>
    </xf>
    <xf numFmtId="4" fontId="3" fillId="3" borderId="40" xfId="0" applyNumberFormat="1" applyFont="1" applyFill="1" applyBorder="1" applyAlignment="1" applyProtection="1">
      <alignment horizontal="right" vertical="center"/>
      <protection locked="0"/>
    </xf>
    <xf numFmtId="0" fontId="3" fillId="0" borderId="40" xfId="0" applyFont="1" applyBorder="1" applyAlignment="1">
      <alignment horizontal="right" vertical="center"/>
    </xf>
    <xf numFmtId="0" fontId="0" fillId="0" borderId="9" xfId="0" applyBorder="1"/>
    <xf numFmtId="4" fontId="2" fillId="0" borderId="41" xfId="0" applyNumberFormat="1" applyFont="1" applyBorder="1" applyAlignment="1">
      <alignment horizontal="right" vertical="center"/>
    </xf>
    <xf numFmtId="0" fontId="5" fillId="0" borderId="0" xfId="0" applyFont="1" applyAlignment="1">
      <alignment horizontal="left" vertical="center"/>
    </xf>
    <xf numFmtId="0" fontId="2" fillId="0" borderId="43" xfId="0" applyFont="1" applyBorder="1" applyAlignment="1">
      <alignment horizontal="left" vertical="center"/>
    </xf>
    <xf numFmtId="0" fontId="2" fillId="0" borderId="44" xfId="0" applyFont="1" applyBorder="1" applyAlignment="1">
      <alignment horizontal="left" vertical="center"/>
    </xf>
    <xf numFmtId="0" fontId="2" fillId="0" borderId="45" xfId="0" applyFont="1" applyBorder="1" applyAlignment="1">
      <alignment horizontal="left"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3" fillId="0" borderId="30" xfId="0" applyFont="1" applyBorder="1" applyAlignment="1">
      <alignment horizontal="left" vertical="center"/>
    </xf>
    <xf numFmtId="0" fontId="3" fillId="0" borderId="31" xfId="0" applyFont="1" applyBorder="1" applyAlignment="1">
      <alignment horizontal="left" vertical="center"/>
    </xf>
    <xf numFmtId="4" fontId="3" fillId="0" borderId="31" xfId="0" applyNumberFormat="1" applyFont="1" applyBorder="1" applyAlignment="1">
      <alignment horizontal="right" vertical="center"/>
    </xf>
    <xf numFmtId="4" fontId="2" fillId="0" borderId="0" xfId="0" applyNumberFormat="1" applyFont="1" applyAlignment="1">
      <alignment horizontal="right" vertical="center"/>
    </xf>
    <xf numFmtId="0" fontId="2" fillId="0" borderId="48" xfId="0" applyFont="1" applyBorder="1" applyAlignment="1">
      <alignment horizontal="left" vertical="center"/>
    </xf>
    <xf numFmtId="0" fontId="2" fillId="0" borderId="49" xfId="0" applyFont="1" applyBorder="1" applyAlignment="1">
      <alignment horizontal="left" vertical="center"/>
    </xf>
    <xf numFmtId="0" fontId="2" fillId="0" borderId="52" xfId="0" applyFont="1" applyBorder="1" applyAlignment="1">
      <alignment horizontal="right" vertical="center"/>
    </xf>
    <xf numFmtId="0" fontId="2" fillId="0" borderId="53" xfId="0" applyFont="1" applyBorder="1" applyAlignment="1">
      <alignment horizontal="left" vertical="center"/>
    </xf>
    <xf numFmtId="0" fontId="7" fillId="2" borderId="55" xfId="0" applyFont="1" applyFill="1" applyBorder="1" applyAlignment="1">
      <alignment horizontal="center" vertical="center"/>
    </xf>
    <xf numFmtId="0" fontId="7" fillId="2" borderId="58" xfId="0" applyFont="1" applyFill="1" applyBorder="1" applyAlignment="1">
      <alignment horizontal="center" vertical="center"/>
    </xf>
    <xf numFmtId="0" fontId="9" fillId="0" borderId="59" xfId="0" applyFont="1" applyBorder="1" applyAlignment="1">
      <alignment horizontal="left" vertical="center"/>
    </xf>
    <xf numFmtId="0" fontId="10" fillId="0" borderId="60" xfId="0" applyFont="1" applyBorder="1" applyAlignment="1">
      <alignment horizontal="left" vertical="center"/>
    </xf>
    <xf numFmtId="4" fontId="10" fillId="0" borderId="60" xfId="0" applyNumberFormat="1" applyFont="1" applyBorder="1" applyAlignment="1">
      <alignment horizontal="right" vertical="center"/>
    </xf>
    <xf numFmtId="0" fontId="10" fillId="0" borderId="60" xfId="0" applyFont="1" applyBorder="1" applyAlignment="1">
      <alignment horizontal="right" vertical="center"/>
    </xf>
    <xf numFmtId="0" fontId="9" fillId="0" borderId="63" xfId="0" applyFont="1" applyBorder="1" applyAlignment="1">
      <alignment horizontal="left" vertical="center"/>
    </xf>
    <xf numFmtId="4" fontId="10" fillId="0" borderId="67" xfId="0" applyNumberFormat="1" applyFont="1" applyBorder="1" applyAlignment="1">
      <alignment horizontal="right" vertical="center"/>
    </xf>
    <xf numFmtId="0" fontId="10" fillId="0" borderId="67" xfId="0" applyFont="1" applyBorder="1" applyAlignment="1">
      <alignment horizontal="right" vertical="center"/>
    </xf>
    <xf numFmtId="4" fontId="10" fillId="0" borderId="58" xfId="0" applyNumberFormat="1" applyFont="1" applyBorder="1" applyAlignment="1">
      <alignment horizontal="right" vertical="center"/>
    </xf>
    <xf numFmtId="4" fontId="10" fillId="0" borderId="26" xfId="0" applyNumberFormat="1" applyFont="1" applyBorder="1" applyAlignment="1">
      <alignment horizontal="right" vertical="center"/>
    </xf>
    <xf numFmtId="4" fontId="9" fillId="2" borderId="57" xfId="0" applyNumberFormat="1" applyFont="1" applyFill="1" applyBorder="1" applyAlignment="1">
      <alignment horizontal="right" vertical="center"/>
    </xf>
    <xf numFmtId="4" fontId="9" fillId="2" borderId="62" xfId="0" applyNumberFormat="1" applyFont="1" applyFill="1" applyBorder="1" applyAlignment="1">
      <alignment horizontal="right" vertical="center"/>
    </xf>
    <xf numFmtId="0" fontId="5" fillId="0" borderId="31" xfId="0" applyFont="1" applyBorder="1" applyAlignment="1">
      <alignment horizontal="left" vertical="center"/>
    </xf>
    <xf numFmtId="0" fontId="2" fillId="0" borderId="83" xfId="0" applyFont="1" applyBorder="1" applyAlignment="1">
      <alignment horizontal="right" vertical="center"/>
    </xf>
    <xf numFmtId="4" fontId="3" fillId="0" borderId="60" xfId="0" applyNumberFormat="1" applyFont="1" applyBorder="1" applyAlignment="1">
      <alignment horizontal="right" vertical="center"/>
    </xf>
    <xf numFmtId="0" fontId="3" fillId="0" borderId="60" xfId="0" applyFont="1" applyBorder="1" applyAlignment="1">
      <alignment horizontal="left" vertical="center"/>
    </xf>
    <xf numFmtId="4" fontId="3" fillId="0" borderId="87" xfId="0" applyNumberFormat="1" applyFont="1" applyBorder="1" applyAlignment="1">
      <alignment horizontal="right" vertical="center"/>
    </xf>
    <xf numFmtId="0" fontId="3" fillId="0" borderId="87" xfId="0" applyFont="1" applyBorder="1" applyAlignment="1">
      <alignment horizontal="left" vertical="center"/>
    </xf>
    <xf numFmtId="0" fontId="2" fillId="0" borderId="91" xfId="0" applyFont="1" applyBorder="1" applyAlignment="1">
      <alignment horizontal="left" vertical="center"/>
    </xf>
    <xf numFmtId="0" fontId="2" fillId="0" borderId="91" xfId="0" applyFont="1" applyBorder="1" applyAlignment="1">
      <alignment horizontal="right" vertical="center"/>
    </xf>
    <xf numFmtId="4" fontId="2" fillId="0" borderId="91" xfId="0" applyNumberFormat="1" applyFont="1" applyBorder="1" applyAlignment="1">
      <alignment horizontal="right" vertical="center"/>
    </xf>
    <xf numFmtId="0" fontId="2" fillId="0" borderId="14" xfId="0"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3" fillId="5" borderId="31" xfId="0" applyFont="1" applyFill="1" applyBorder="1" applyAlignment="1" applyProtection="1">
      <alignment horizontal="left" vertical="center"/>
      <protection locked="0"/>
    </xf>
    <xf numFmtId="0" fontId="3" fillId="5" borderId="0" xfId="0" applyFont="1" applyFill="1" applyAlignment="1" applyProtection="1">
      <alignment horizontal="left" vertical="center"/>
      <protection locked="0"/>
    </xf>
    <xf numFmtId="0" fontId="2" fillId="0" borderId="41" xfId="0" applyFont="1" applyBorder="1" applyAlignment="1">
      <alignment horizontal="left" vertical="center"/>
    </xf>
    <xf numFmtId="0" fontId="3" fillId="0" borderId="0" xfId="0" applyFont="1" applyAlignment="1">
      <alignment horizontal="left" vertical="center" wrapText="1"/>
    </xf>
    <xf numFmtId="0" fontId="3" fillId="0" borderId="0" xfId="0" applyFont="1" applyAlignment="1">
      <alignment horizontal="left" vertical="center"/>
    </xf>
    <xf numFmtId="0" fontId="2" fillId="2" borderId="0" xfId="0" applyFont="1" applyFill="1" applyAlignment="1">
      <alignment horizontal="left" vertical="center" wrapText="1"/>
    </xf>
    <xf numFmtId="0" fontId="2" fillId="2" borderId="0" xfId="0" applyFont="1" applyFill="1" applyAlignment="1">
      <alignment horizontal="left" vertical="center"/>
    </xf>
    <xf numFmtId="0" fontId="3" fillId="0" borderId="40" xfId="0" applyFont="1" applyBorder="1" applyAlignment="1">
      <alignment horizontal="left" vertical="center" wrapText="1"/>
    </xf>
    <xf numFmtId="0" fontId="3" fillId="0" borderId="40" xfId="0" applyFont="1" applyBorder="1" applyAlignment="1">
      <alignment horizontal="left" vertical="center"/>
    </xf>
    <xf numFmtId="0" fontId="4" fillId="0" borderId="0" xfId="0" applyFont="1" applyAlignment="1">
      <alignment horizontal="left" vertical="center" wrapText="1"/>
    </xf>
    <xf numFmtId="0" fontId="4" fillId="0" borderId="0" xfId="0" applyFont="1" applyAlignment="1">
      <alignment horizontal="left" vertical="center"/>
    </xf>
    <xf numFmtId="0" fontId="4" fillId="3" borderId="0" xfId="0" applyFont="1" applyFill="1" applyAlignment="1" applyProtection="1">
      <alignment horizontal="left" vertical="center"/>
      <protection locked="0"/>
    </xf>
    <xf numFmtId="0" fontId="4" fillId="0" borderId="6" xfId="0" applyFont="1" applyBorder="1" applyAlignment="1">
      <alignment horizontal="left" vertical="center"/>
    </xf>
    <xf numFmtId="0" fontId="4" fillId="0" borderId="38" xfId="0" applyFont="1" applyBorder="1" applyAlignment="1">
      <alignment horizontal="left" vertical="center" wrapText="1"/>
    </xf>
    <xf numFmtId="0" fontId="4" fillId="0" borderId="38" xfId="0" applyFont="1" applyBorder="1" applyAlignment="1">
      <alignment horizontal="left" vertical="center"/>
    </xf>
    <xf numFmtId="0" fontId="4" fillId="3" borderId="38" xfId="0" applyFont="1" applyFill="1" applyBorder="1" applyAlignment="1" applyProtection="1">
      <alignment horizontal="left" vertical="center"/>
      <protection locked="0"/>
    </xf>
    <xf numFmtId="0" fontId="4" fillId="0" borderId="33" xfId="0" applyFont="1" applyBorder="1" applyAlignment="1">
      <alignment horizontal="left" vertical="center" wrapText="1"/>
    </xf>
    <xf numFmtId="0" fontId="4" fillId="0" borderId="33" xfId="0" applyFont="1" applyBorder="1" applyAlignment="1">
      <alignment horizontal="left" vertical="center"/>
    </xf>
    <xf numFmtId="0" fontId="4" fillId="3" borderId="33" xfId="0" applyFont="1" applyFill="1" applyBorder="1" applyAlignment="1" applyProtection="1">
      <alignment horizontal="left" vertical="center"/>
      <protection locked="0"/>
    </xf>
    <xf numFmtId="0" fontId="3" fillId="4" borderId="35" xfId="0" applyFont="1" applyFill="1" applyBorder="1" applyAlignment="1">
      <alignment horizontal="left" vertical="center" wrapText="1"/>
    </xf>
    <xf numFmtId="0" fontId="3" fillId="4" borderId="35" xfId="0" applyFont="1" applyFill="1" applyBorder="1" applyAlignment="1">
      <alignment horizontal="left" vertical="center"/>
    </xf>
    <xf numFmtId="0" fontId="2" fillId="0" borderId="22" xfId="0" applyFont="1" applyBorder="1" applyAlignment="1">
      <alignment horizontal="left" vertical="center"/>
    </xf>
    <xf numFmtId="0" fontId="2" fillId="0" borderId="23" xfId="0" applyFont="1" applyBorder="1" applyAlignment="1">
      <alignment horizontal="left"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2" borderId="31" xfId="0" applyFont="1" applyFill="1" applyBorder="1" applyAlignment="1">
      <alignment horizontal="left" vertical="center" wrapText="1"/>
    </xf>
    <xf numFmtId="0" fontId="2" fillId="2" borderId="31" xfId="0" applyFont="1" applyFill="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6" xfId="0" applyFont="1" applyBorder="1" applyAlignment="1">
      <alignment horizontal="left" vertical="center"/>
    </xf>
    <xf numFmtId="0" fontId="3" fillId="3" borderId="0" xfId="0" applyFont="1" applyFill="1" applyAlignment="1" applyProtection="1">
      <alignment horizontal="left" vertical="center"/>
      <protection locked="0"/>
    </xf>
    <xf numFmtId="0" fontId="3" fillId="3" borderId="6" xfId="0" applyFont="1" applyFill="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3" fillId="0" borderId="8" xfId="0" applyFont="1" applyBorder="1" applyAlignment="1">
      <alignment horizontal="left" vertical="center"/>
    </xf>
    <xf numFmtId="0" fontId="3" fillId="0" borderId="3" xfId="0" applyFont="1" applyBorder="1" applyAlignment="1" applyProtection="1">
      <alignment horizontal="left" vertical="center"/>
      <protection locked="0"/>
    </xf>
    <xf numFmtId="0" fontId="1" fillId="0" borderId="1" xfId="0" applyFont="1" applyBorder="1" applyAlignment="1">
      <alignment horizontal="center" vertical="center"/>
    </xf>
    <xf numFmtId="0" fontId="3" fillId="0" borderId="2" xfId="0" applyFont="1" applyBorder="1" applyAlignment="1">
      <alignment horizontal="left" vertical="center" wrapText="1"/>
    </xf>
    <xf numFmtId="0" fontId="3" fillId="0" borderId="5" xfId="0" applyFont="1" applyBorder="1" applyAlignment="1">
      <alignment horizontal="left" vertical="center"/>
    </xf>
    <xf numFmtId="0" fontId="3" fillId="0" borderId="5" xfId="0" applyFont="1" applyBorder="1" applyAlignment="1">
      <alignment horizontal="left" vertical="center" wrapText="1"/>
    </xf>
    <xf numFmtId="0" fontId="3" fillId="0" borderId="7" xfId="0" applyFont="1" applyBorder="1" applyAlignment="1">
      <alignment horizontal="left" vertical="center"/>
    </xf>
    <xf numFmtId="0" fontId="3" fillId="0" borderId="3" xfId="0" applyFont="1" applyBorder="1" applyAlignment="1">
      <alignment horizontal="left" vertical="center" wrapText="1"/>
    </xf>
    <xf numFmtId="0" fontId="2" fillId="0" borderId="3" xfId="0" applyFont="1" applyBorder="1" applyAlignment="1">
      <alignment horizontal="left" vertical="center" wrapText="1"/>
    </xf>
    <xf numFmtId="0" fontId="2" fillId="0" borderId="3" xfId="0" applyFont="1" applyBorder="1" applyAlignment="1">
      <alignment horizontal="left" vertical="center"/>
    </xf>
    <xf numFmtId="0" fontId="2" fillId="0" borderId="0" xfId="0" applyFont="1" applyAlignment="1">
      <alignment horizontal="left" vertical="center"/>
    </xf>
    <xf numFmtId="0" fontId="3" fillId="0" borderId="4" xfId="0" applyFont="1" applyBorder="1" applyAlignment="1">
      <alignment horizontal="left" vertical="center" wrapText="1"/>
    </xf>
    <xf numFmtId="0" fontId="3" fillId="0" borderId="6" xfId="0" applyFont="1" applyBorder="1" applyAlignment="1">
      <alignment horizontal="left" vertical="center" wrapText="1"/>
    </xf>
    <xf numFmtId="0" fontId="3" fillId="3" borderId="93" xfId="0" applyFont="1" applyFill="1" applyBorder="1" applyAlignment="1" applyProtection="1">
      <alignment horizontal="left" vertical="center"/>
      <protection locked="0"/>
    </xf>
    <xf numFmtId="0" fontId="3" fillId="0" borderId="42" xfId="0" applyFont="1" applyBorder="1" applyAlignment="1">
      <alignment horizontal="left" vertical="center"/>
    </xf>
    <xf numFmtId="0" fontId="2" fillId="0" borderId="50" xfId="0" applyFont="1" applyBorder="1" applyAlignment="1">
      <alignment horizontal="left" vertical="center"/>
    </xf>
    <xf numFmtId="0" fontId="2" fillId="0" borderId="51" xfId="0" applyFont="1" applyBorder="1" applyAlignment="1">
      <alignment horizontal="left" vertical="center"/>
    </xf>
    <xf numFmtId="0" fontId="3" fillId="3" borderId="85" xfId="0" applyFont="1" applyFill="1" applyBorder="1" applyAlignment="1" applyProtection="1">
      <alignment horizontal="left" vertical="center"/>
      <protection locked="0"/>
    </xf>
    <xf numFmtId="0" fontId="3" fillId="3" borderId="87" xfId="0" applyFont="1" applyFill="1" applyBorder="1" applyAlignment="1" applyProtection="1">
      <alignment horizontal="left" vertical="center"/>
      <protection locked="0"/>
    </xf>
    <xf numFmtId="0" fontId="10" fillId="0" borderId="75" xfId="0" applyFont="1" applyBorder="1" applyAlignment="1">
      <alignment horizontal="left" vertical="center"/>
    </xf>
    <xf numFmtId="0" fontId="10" fillId="0" borderId="73" xfId="0" applyFont="1" applyBorder="1" applyAlignment="1">
      <alignment horizontal="left" vertical="center"/>
    </xf>
    <xf numFmtId="0" fontId="10" fillId="0" borderId="74" xfId="0" applyFont="1" applyBorder="1" applyAlignment="1">
      <alignment horizontal="left" vertical="center"/>
    </xf>
    <xf numFmtId="0" fontId="10" fillId="0" borderId="78" xfId="0" applyFont="1" applyBorder="1" applyAlignment="1">
      <alignment horizontal="left" vertical="center"/>
    </xf>
    <xf numFmtId="0" fontId="10" fillId="0" borderId="0" xfId="0" applyFont="1" applyAlignment="1">
      <alignment horizontal="left" vertical="center"/>
    </xf>
    <xf numFmtId="0" fontId="10" fillId="0" borderId="77" xfId="0" applyFont="1" applyBorder="1" applyAlignment="1">
      <alignment horizontal="left" vertical="center"/>
    </xf>
    <xf numFmtId="0" fontId="10" fillId="0" borderId="82" xfId="0" applyFont="1" applyBorder="1" applyAlignment="1">
      <alignment horizontal="left" vertical="center"/>
    </xf>
    <xf numFmtId="0" fontId="10" fillId="0" borderId="80" xfId="0" applyFont="1" applyBorder="1" applyAlignment="1">
      <alignment horizontal="left" vertical="center"/>
    </xf>
    <xf numFmtId="0" fontId="10" fillId="0" borderId="81" xfId="0" applyFont="1" applyBorder="1" applyAlignment="1">
      <alignment horizontal="left" vertical="center"/>
    </xf>
    <xf numFmtId="0" fontId="10" fillId="0" borderId="72" xfId="0" applyFont="1" applyBorder="1" applyAlignment="1">
      <alignment horizontal="left" vertical="center"/>
    </xf>
    <xf numFmtId="0" fontId="10" fillId="0" borderId="76" xfId="0" applyFont="1" applyBorder="1" applyAlignment="1">
      <alignment horizontal="left" vertical="center"/>
    </xf>
    <xf numFmtId="0" fontId="10" fillId="0" borderId="79" xfId="0" applyFont="1" applyBorder="1" applyAlignment="1">
      <alignment horizontal="left" vertical="center"/>
    </xf>
    <xf numFmtId="0" fontId="9" fillId="0" borderId="64" xfId="0" applyFont="1" applyBorder="1" applyAlignment="1">
      <alignment horizontal="left" vertical="center"/>
    </xf>
    <xf numFmtId="0" fontId="9" fillId="0" borderId="62" xfId="0" applyFont="1" applyBorder="1" applyAlignment="1">
      <alignment horizontal="left" vertical="center"/>
    </xf>
    <xf numFmtId="0" fontId="9" fillId="2" borderId="69" xfId="0" applyFont="1" applyFill="1" applyBorder="1" applyAlignment="1">
      <alignment horizontal="left" vertical="center"/>
    </xf>
    <xf numFmtId="0" fontId="9" fillId="2" borderId="70" xfId="0" applyFont="1" applyFill="1" applyBorder="1" applyAlignment="1">
      <alignment horizontal="left" vertical="center"/>
    </xf>
    <xf numFmtId="0" fontId="9" fillId="2" borderId="64" xfId="0" applyFont="1" applyFill="1" applyBorder="1" applyAlignment="1">
      <alignment horizontal="left" vertical="center"/>
    </xf>
    <xf numFmtId="0" fontId="9" fillId="2" borderId="71" xfId="0" applyFont="1" applyFill="1" applyBorder="1" applyAlignment="1">
      <alignment horizontal="left" vertical="center"/>
    </xf>
    <xf numFmtId="0" fontId="9" fillId="2" borderId="56" xfId="0" applyFont="1" applyFill="1" applyBorder="1" applyAlignment="1">
      <alignment horizontal="left" vertical="center"/>
    </xf>
    <xf numFmtId="0" fontId="9" fillId="2" borderId="61" xfId="0" applyFont="1" applyFill="1" applyBorder="1" applyAlignment="1">
      <alignment horizontal="left" vertical="center"/>
    </xf>
    <xf numFmtId="0" fontId="10" fillId="0" borderId="61" xfId="0" applyFont="1" applyBorder="1" applyAlignment="1">
      <alignment horizontal="left" vertical="center"/>
    </xf>
    <xf numFmtId="0" fontId="10" fillId="0" borderId="62" xfId="0" applyFont="1" applyBorder="1" applyAlignment="1">
      <alignment horizontal="left" vertical="center"/>
    </xf>
    <xf numFmtId="0" fontId="10" fillId="0" borderId="68" xfId="0" applyFont="1" applyBorder="1" applyAlignment="1">
      <alignment horizontal="left" vertical="center"/>
    </xf>
    <xf numFmtId="0" fontId="10" fillId="0" borderId="66" xfId="0" applyFont="1" applyBorder="1" applyAlignment="1">
      <alignment horizontal="left" vertical="center"/>
    </xf>
    <xf numFmtId="0" fontId="9" fillId="0" borderId="56" xfId="0" applyFont="1" applyBorder="1" applyAlignment="1">
      <alignment horizontal="left" vertical="center"/>
    </xf>
    <xf numFmtId="0" fontId="9" fillId="0" borderId="57" xfId="0" applyFont="1" applyBorder="1" applyAlignment="1">
      <alignment horizontal="left" vertical="center"/>
    </xf>
    <xf numFmtId="0" fontId="9" fillId="0" borderId="61" xfId="0" applyFont="1" applyBorder="1" applyAlignment="1">
      <alignment horizontal="left" vertical="center"/>
    </xf>
    <xf numFmtId="0" fontId="9" fillId="0" borderId="65" xfId="0" applyFont="1" applyBorder="1" applyAlignment="1">
      <alignment horizontal="left" vertical="center"/>
    </xf>
    <xf numFmtId="0" fontId="9" fillId="0" borderId="66" xfId="0" applyFont="1" applyBorder="1" applyAlignment="1">
      <alignment horizontal="left" vertical="center"/>
    </xf>
    <xf numFmtId="0" fontId="9" fillId="0" borderId="69" xfId="0" applyFont="1" applyBorder="1" applyAlignment="1">
      <alignment horizontal="left" vertical="center"/>
    </xf>
    <xf numFmtId="0" fontId="3" fillId="0" borderId="9" xfId="0" applyFont="1" applyBorder="1" applyAlignment="1">
      <alignment horizontal="left" vertical="center"/>
    </xf>
    <xf numFmtId="0" fontId="6" fillId="0" borderId="54" xfId="0" applyFont="1" applyBorder="1" applyAlignment="1">
      <alignment horizontal="center" vertical="center"/>
    </xf>
    <xf numFmtId="0" fontId="8" fillId="0" borderId="56" xfId="0" applyFont="1" applyBorder="1" applyAlignment="1">
      <alignment horizontal="left" vertical="center"/>
    </xf>
    <xf numFmtId="0" fontId="8" fillId="0" borderId="57" xfId="0" applyFont="1" applyBorder="1" applyAlignment="1">
      <alignment horizontal="left" vertical="center"/>
    </xf>
    <xf numFmtId="0" fontId="3" fillId="0" borderId="39" xfId="0" applyFont="1" applyBorder="1" applyAlignment="1">
      <alignment horizontal="left" vertical="center"/>
    </xf>
    <xf numFmtId="0" fontId="1" fillId="0" borderId="1" xfId="0" applyFont="1" applyBorder="1" applyAlignment="1">
      <alignment horizontal="center" vertical="center" wrapText="1"/>
    </xf>
    <xf numFmtId="1" fontId="3" fillId="0" borderId="6" xfId="0" applyNumberFormat="1" applyFont="1" applyBorder="1" applyAlignment="1">
      <alignment horizontal="left" vertical="center"/>
    </xf>
    <xf numFmtId="0" fontId="3" fillId="0" borderId="64" xfId="0" applyFont="1" applyBorder="1" applyAlignment="1">
      <alignment horizontal="left" vertical="center"/>
    </xf>
    <xf numFmtId="0" fontId="3" fillId="0" borderId="71" xfId="0" applyFont="1" applyBorder="1" applyAlignment="1">
      <alignment horizontal="left" vertical="center"/>
    </xf>
    <xf numFmtId="0" fontId="3" fillId="0" borderId="62" xfId="0" applyFont="1" applyBorder="1" applyAlignment="1">
      <alignment horizontal="left" vertical="center"/>
    </xf>
    <xf numFmtId="0" fontId="3" fillId="0" borderId="84" xfId="0" applyFont="1" applyBorder="1" applyAlignment="1">
      <alignment horizontal="left" vertical="center"/>
    </xf>
    <xf numFmtId="0" fontId="3" fillId="0" borderId="85" xfId="0" applyFont="1" applyBorder="1" applyAlignment="1">
      <alignment horizontal="left" vertical="center"/>
    </xf>
    <xf numFmtId="0" fontId="3" fillId="0" borderId="86" xfId="0" applyFont="1" applyBorder="1" applyAlignment="1">
      <alignment horizontal="left" vertical="center"/>
    </xf>
    <xf numFmtId="0" fontId="2" fillId="0" borderId="88" xfId="0" applyFont="1" applyBorder="1" applyAlignment="1">
      <alignment horizontal="left" vertical="center"/>
    </xf>
    <xf numFmtId="0" fontId="2" fillId="0" borderId="89" xfId="0" applyFont="1" applyBorder="1" applyAlignment="1">
      <alignment horizontal="left" vertical="center"/>
    </xf>
    <xf numFmtId="0" fontId="2" fillId="0" borderId="90" xfId="0" applyFont="1" applyBorder="1" applyAlignment="1">
      <alignment horizontal="left" vertical="center"/>
    </xf>
    <xf numFmtId="0" fontId="9" fillId="0" borderId="88" xfId="0" applyFont="1" applyBorder="1" applyAlignment="1">
      <alignment horizontal="left" vertical="center"/>
    </xf>
    <xf numFmtId="0" fontId="9" fillId="0" borderId="89" xfId="0" applyFont="1" applyBorder="1" applyAlignment="1">
      <alignment horizontal="left" vertical="center"/>
    </xf>
    <xf numFmtId="0" fontId="9" fillId="0" borderId="90" xfId="0" applyFont="1" applyBorder="1" applyAlignment="1">
      <alignment horizontal="left" vertical="center"/>
    </xf>
    <xf numFmtId="4" fontId="9" fillId="0" borderId="92" xfId="0" applyNumberFormat="1" applyFont="1" applyBorder="1" applyAlignment="1">
      <alignment horizontal="right" vertical="center"/>
    </xf>
    <xf numFmtId="0" fontId="9" fillId="0" borderId="89" xfId="0" applyFont="1" applyBorder="1" applyAlignment="1">
      <alignment horizontal="right" vertical="center"/>
    </xf>
    <xf numFmtId="0" fontId="9" fillId="0" borderId="90" xfId="0" applyFont="1" applyBorder="1" applyAlignment="1">
      <alignment horizontal="right" vertical="center"/>
    </xf>
    <xf numFmtId="0" fontId="9" fillId="0" borderId="8"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absoluteAnchor>
    <xdr:pos x="0" y="0"/>
    <xdr:ext cx="666750" cy="666750"/>
    <xdr:pic>
      <xdr:nvPicPr>
        <xdr:cNvPr id="2" name="Obráze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666750" cy="666750"/>
        </a:xfrm>
        <a:prstGeom prst="rect">
          <a:avLst/>
        </a:prstGeom>
        <a:noFill/>
        <a:ln w="9525">
          <a:noFill/>
        </a:ln>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666750" cy="666750"/>
    <xdr:pic>
      <xdr:nvPicPr>
        <xdr:cNvPr id="2" name="Obrázek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666750" cy="666750"/>
        </a:xfrm>
        <a:prstGeom prst="rect">
          <a:avLst/>
        </a:prstGeom>
        <a:noFill/>
        <a:ln w="9525">
          <a:noFill/>
        </a:ln>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666750" cy="666750"/>
    <xdr:pic>
      <xdr:nvPicPr>
        <xdr:cNvPr id="2" name="Obráze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666750" cy="666750"/>
        </a:xfrm>
        <a:prstGeom prst="rect">
          <a:avLst/>
        </a:prstGeom>
        <a:noFill/>
        <a:ln w="9525">
          <a:noFill/>
        </a:ln>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666750" cy="666750"/>
    <xdr:pic>
      <xdr:nvPicPr>
        <xdr:cNvPr id="2" name="Obráze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666750" cy="666750"/>
        </a:xfrm>
        <a:prstGeom prst="rect">
          <a:avLst/>
        </a:prstGeom>
        <a:noFill/>
        <a:ln w="9525">
          <a:noFill/>
        </a:ln>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666750" cy="666750"/>
    <xdr:pic>
      <xdr:nvPicPr>
        <xdr:cNvPr id="2" name="Obrázek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666750" cy="666750"/>
        </a:xfrm>
        <a:prstGeom prst="rect">
          <a:avLst/>
        </a:prstGeom>
        <a:noFill/>
        <a:ln w="9525">
          <a:noFill/>
        </a:ln>
      </xdr:spPr>
    </xdr:pic>
    <xdr:clientData/>
  </xdr:absolute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157"/>
  <sheetViews>
    <sheetView tabSelected="1" workbookViewId="0">
      <pane ySplit="11" topLeftCell="A12" activePane="bottomLeft" state="frozen"/>
      <selection pane="bottomLeft" activeCell="R123" sqref="R123"/>
    </sheetView>
  </sheetViews>
  <sheetFormatPr defaultColWidth="12.140625" defaultRowHeight="15" customHeight="1" x14ac:dyDescent="0.25"/>
  <cols>
    <col min="1" max="1" width="4" customWidth="1"/>
    <col min="2" max="2" width="17.85546875" customWidth="1"/>
    <col min="3" max="3" width="1.42578125" customWidth="1"/>
    <col min="4" max="4" width="35.7109375" customWidth="1"/>
    <col min="5" max="5" width="6.7109375" customWidth="1"/>
    <col min="6" max="6" width="12.85546875" customWidth="1"/>
    <col min="7" max="7" width="12" customWidth="1"/>
    <col min="8" max="10" width="15.7109375" customWidth="1"/>
    <col min="11" max="11" width="13.42578125" customWidth="1"/>
    <col min="25" max="75" width="12.140625" hidden="1"/>
  </cols>
  <sheetData>
    <row r="1" spans="1:75" ht="54.75" customHeight="1" x14ac:dyDescent="0.25">
      <c r="A1" s="129" t="s">
        <v>0</v>
      </c>
      <c r="B1" s="129"/>
      <c r="C1" s="129"/>
      <c r="D1" s="129"/>
      <c r="E1" s="129"/>
      <c r="F1" s="129"/>
      <c r="G1" s="129"/>
      <c r="H1" s="129"/>
      <c r="I1" s="129"/>
      <c r="J1" s="129"/>
      <c r="K1" s="129"/>
      <c r="L1" s="129"/>
      <c r="AS1" s="1">
        <f>SUM(AJ1:AJ2)</f>
        <v>0</v>
      </c>
      <c r="AT1" s="1">
        <f>SUM(AK1:AK2)</f>
        <v>0</v>
      </c>
      <c r="AU1" s="1">
        <f>SUM(AL1:AL2)</f>
        <v>0</v>
      </c>
    </row>
    <row r="2" spans="1:75" x14ac:dyDescent="0.25">
      <c r="A2" s="130" t="s">
        <v>1</v>
      </c>
      <c r="B2" s="116"/>
      <c r="C2" s="135" t="s">
        <v>2</v>
      </c>
      <c r="D2" s="136"/>
      <c r="E2" s="136"/>
      <c r="F2" s="136"/>
      <c r="G2" s="128" t="s">
        <v>3</v>
      </c>
      <c r="H2" s="116"/>
      <c r="I2" s="128" t="s">
        <v>4</v>
      </c>
      <c r="J2" s="134" t="s">
        <v>5</v>
      </c>
      <c r="K2" s="116" t="s">
        <v>6</v>
      </c>
      <c r="L2" s="117"/>
    </row>
    <row r="3" spans="1:75" x14ac:dyDescent="0.25">
      <c r="A3" s="131"/>
      <c r="B3" s="92"/>
      <c r="C3" s="137"/>
      <c r="D3" s="137"/>
      <c r="E3" s="137"/>
      <c r="F3" s="137"/>
      <c r="G3" s="121"/>
      <c r="H3" s="92"/>
      <c r="I3" s="121"/>
      <c r="J3" s="92"/>
      <c r="K3" s="92"/>
      <c r="L3" s="118"/>
    </row>
    <row r="4" spans="1:75" x14ac:dyDescent="0.25">
      <c r="A4" s="132" t="s">
        <v>7</v>
      </c>
      <c r="B4" s="92"/>
      <c r="C4" s="91" t="s">
        <v>8</v>
      </c>
      <c r="D4" s="92"/>
      <c r="E4" s="92"/>
      <c r="F4" s="92"/>
      <c r="G4" s="121" t="s">
        <v>9</v>
      </c>
      <c r="H4" s="92"/>
      <c r="I4" s="121" t="s">
        <v>10</v>
      </c>
      <c r="J4" s="91" t="s">
        <v>11</v>
      </c>
      <c r="K4" s="92" t="s">
        <v>6</v>
      </c>
      <c r="L4" s="118"/>
    </row>
    <row r="5" spans="1:75" x14ac:dyDescent="0.25">
      <c r="A5" s="131"/>
      <c r="B5" s="92"/>
      <c r="C5" s="92"/>
      <c r="D5" s="92"/>
      <c r="E5" s="92"/>
      <c r="F5" s="92"/>
      <c r="G5" s="121"/>
      <c r="H5" s="92"/>
      <c r="I5" s="121"/>
      <c r="J5" s="92"/>
      <c r="K5" s="92"/>
      <c r="L5" s="118"/>
    </row>
    <row r="6" spans="1:75" x14ac:dyDescent="0.25">
      <c r="A6" s="132" t="s">
        <v>12</v>
      </c>
      <c r="B6" s="92"/>
      <c r="C6" s="91" t="s">
        <v>13</v>
      </c>
      <c r="D6" s="92"/>
      <c r="E6" s="92"/>
      <c r="F6" s="92"/>
      <c r="G6" s="121" t="s">
        <v>14</v>
      </c>
      <c r="H6" s="92"/>
      <c r="I6" s="121" t="s">
        <v>4</v>
      </c>
      <c r="J6" s="91" t="s">
        <v>15</v>
      </c>
      <c r="K6" s="119" t="s">
        <v>6</v>
      </c>
      <c r="L6" s="120"/>
    </row>
    <row r="7" spans="1:75" x14ac:dyDescent="0.25">
      <c r="A7" s="131"/>
      <c r="B7" s="92"/>
      <c r="C7" s="92"/>
      <c r="D7" s="92"/>
      <c r="E7" s="92"/>
      <c r="F7" s="92"/>
      <c r="G7" s="121"/>
      <c r="H7" s="92"/>
      <c r="I7" s="121"/>
      <c r="J7" s="92"/>
      <c r="K7" s="119"/>
      <c r="L7" s="120"/>
    </row>
    <row r="8" spans="1:75" x14ac:dyDescent="0.25">
      <c r="A8" s="132" t="s">
        <v>16</v>
      </c>
      <c r="B8" s="92"/>
      <c r="C8" s="91" t="s">
        <v>4</v>
      </c>
      <c r="D8" s="92"/>
      <c r="E8" s="92"/>
      <c r="F8" s="92"/>
      <c r="G8" s="121" t="s">
        <v>17</v>
      </c>
      <c r="H8" s="92"/>
      <c r="I8" s="121" t="s">
        <v>10</v>
      </c>
      <c r="J8" s="91" t="s">
        <v>18</v>
      </c>
      <c r="K8" s="121" t="s">
        <v>6</v>
      </c>
      <c r="L8" s="122"/>
    </row>
    <row r="9" spans="1:75" x14ac:dyDescent="0.25">
      <c r="A9" s="133"/>
      <c r="B9" s="127"/>
      <c r="C9" s="127"/>
      <c r="D9" s="127"/>
      <c r="E9" s="127"/>
      <c r="F9" s="127"/>
      <c r="G9" s="123"/>
      <c r="H9" s="127"/>
      <c r="I9" s="123"/>
      <c r="J9" s="127"/>
      <c r="K9" s="123"/>
      <c r="L9" s="124"/>
    </row>
    <row r="10" spans="1:75" x14ac:dyDescent="0.25">
      <c r="A10" s="5" t="s">
        <v>19</v>
      </c>
      <c r="B10" s="6" t="s">
        <v>20</v>
      </c>
      <c r="C10" s="125" t="s">
        <v>21</v>
      </c>
      <c r="D10" s="126"/>
      <c r="E10" s="6" t="s">
        <v>22</v>
      </c>
      <c r="F10" s="7" t="s">
        <v>23</v>
      </c>
      <c r="G10" s="86" t="s">
        <v>24</v>
      </c>
      <c r="H10" s="111" t="s">
        <v>25</v>
      </c>
      <c r="I10" s="112"/>
      <c r="J10" s="113"/>
      <c r="K10" s="8" t="s">
        <v>26</v>
      </c>
      <c r="L10" s="9"/>
      <c r="BK10" s="10" t="s">
        <v>27</v>
      </c>
      <c r="BL10" s="11" t="s">
        <v>28</v>
      </c>
      <c r="BW10" s="11" t="s">
        <v>29</v>
      </c>
    </row>
    <row r="11" spans="1:75" x14ac:dyDescent="0.25">
      <c r="A11" s="12" t="s">
        <v>4</v>
      </c>
      <c r="B11" s="13" t="s">
        <v>4</v>
      </c>
      <c r="C11" s="109" t="s">
        <v>30</v>
      </c>
      <c r="D11" s="110"/>
      <c r="E11" s="13" t="s">
        <v>4</v>
      </c>
      <c r="F11" s="13" t="s">
        <v>4</v>
      </c>
      <c r="G11" s="87" t="s">
        <v>31</v>
      </c>
      <c r="H11" s="14" t="s">
        <v>32</v>
      </c>
      <c r="I11" s="15" t="s">
        <v>33</v>
      </c>
      <c r="J11" s="16" t="s">
        <v>34</v>
      </c>
      <c r="K11" s="17" t="s">
        <v>35</v>
      </c>
      <c r="L11" s="18"/>
      <c r="Z11" s="10" t="s">
        <v>36</v>
      </c>
      <c r="AA11" s="10" t="s">
        <v>37</v>
      </c>
      <c r="AB11" s="10" t="s">
        <v>38</v>
      </c>
      <c r="AC11" s="10" t="s">
        <v>39</v>
      </c>
      <c r="AD11" s="10" t="s">
        <v>40</v>
      </c>
      <c r="AE11" s="10" t="s">
        <v>41</v>
      </c>
      <c r="AF11" s="10" t="s">
        <v>42</v>
      </c>
      <c r="AG11" s="10" t="s">
        <v>43</v>
      </c>
      <c r="AH11" s="10" t="s">
        <v>44</v>
      </c>
      <c r="BH11" s="10" t="s">
        <v>45</v>
      </c>
      <c r="BI11" s="10" t="s">
        <v>46</v>
      </c>
      <c r="BJ11" s="10" t="s">
        <v>47</v>
      </c>
    </row>
    <row r="12" spans="1:75" x14ac:dyDescent="0.25">
      <c r="A12" s="19" t="s">
        <v>48</v>
      </c>
      <c r="B12" s="20" t="s">
        <v>49</v>
      </c>
      <c r="C12" s="114" t="s">
        <v>50</v>
      </c>
      <c r="D12" s="115"/>
      <c r="E12" s="21" t="s">
        <v>4</v>
      </c>
      <c r="F12" s="21" t="s">
        <v>4</v>
      </c>
      <c r="G12" s="88" t="s">
        <v>4</v>
      </c>
      <c r="H12" s="22">
        <f>SUM(H13:H15)</f>
        <v>0</v>
      </c>
      <c r="I12" s="22">
        <f>SUM(I13:I15)</f>
        <v>0</v>
      </c>
      <c r="J12" s="22">
        <f>SUM(J13:J15)</f>
        <v>0</v>
      </c>
      <c r="K12" s="23" t="s">
        <v>48</v>
      </c>
      <c r="L12" s="24"/>
      <c r="AI12" s="10" t="s">
        <v>48</v>
      </c>
      <c r="AS12" s="1">
        <f>SUM(AJ13:AJ15)</f>
        <v>0</v>
      </c>
      <c r="AT12" s="1">
        <f>SUM(AK13:AK15)</f>
        <v>0</v>
      </c>
      <c r="AU12" s="1">
        <f>SUM(AL13:AL15)</f>
        <v>0</v>
      </c>
    </row>
    <row r="13" spans="1:75" ht="27" customHeight="1" x14ac:dyDescent="0.25">
      <c r="A13" s="2" t="s">
        <v>51</v>
      </c>
      <c r="B13" s="3" t="s">
        <v>52</v>
      </c>
      <c r="C13" s="91" t="s">
        <v>53</v>
      </c>
      <c r="D13" s="92"/>
      <c r="E13" s="3" t="s">
        <v>54</v>
      </c>
      <c r="F13" s="25">
        <v>1123.45</v>
      </c>
      <c r="G13" s="26">
        <v>0</v>
      </c>
      <c r="H13" s="25">
        <f>F13*AO13</f>
        <v>0</v>
      </c>
      <c r="I13" s="25">
        <f>F13*AP13</f>
        <v>0</v>
      </c>
      <c r="J13" s="25">
        <f>F13*G13</f>
        <v>0</v>
      </c>
      <c r="K13" s="27" t="s">
        <v>55</v>
      </c>
      <c r="L13" s="24"/>
      <c r="Z13" s="25">
        <f>IF(AQ13="5",BJ13,0)</f>
        <v>0</v>
      </c>
      <c r="AB13" s="25">
        <f>IF(AQ13="1",BH13,0)</f>
        <v>0</v>
      </c>
      <c r="AC13" s="25">
        <f>IF(AQ13="1",BI13,0)</f>
        <v>0</v>
      </c>
      <c r="AD13" s="25">
        <f>IF(AQ13="7",BH13,0)</f>
        <v>0</v>
      </c>
      <c r="AE13" s="25">
        <f>IF(AQ13="7",BI13,0)</f>
        <v>0</v>
      </c>
      <c r="AF13" s="25">
        <f>IF(AQ13="2",BH13,0)</f>
        <v>0</v>
      </c>
      <c r="AG13" s="25">
        <f>IF(AQ13="2",BI13,0)</f>
        <v>0</v>
      </c>
      <c r="AH13" s="25">
        <f>IF(AQ13="0",BJ13,0)</f>
        <v>0</v>
      </c>
      <c r="AI13" s="10" t="s">
        <v>48</v>
      </c>
      <c r="AJ13" s="25">
        <f>IF(AN13=0,J13,0)</f>
        <v>0</v>
      </c>
      <c r="AK13" s="25">
        <f>IF(AN13=12,J13,0)</f>
        <v>0</v>
      </c>
      <c r="AL13" s="25">
        <f>IF(AN13=21,J13,0)</f>
        <v>0</v>
      </c>
      <c r="AN13" s="25">
        <v>21</v>
      </c>
      <c r="AO13" s="25">
        <f>G13*0</f>
        <v>0</v>
      </c>
      <c r="AP13" s="25">
        <f>G13*(1-0)</f>
        <v>0</v>
      </c>
      <c r="AQ13" s="27" t="s">
        <v>51</v>
      </c>
      <c r="AV13" s="25">
        <f>AW13+AX13</f>
        <v>0</v>
      </c>
      <c r="AW13" s="25">
        <f>F13*AO13</f>
        <v>0</v>
      </c>
      <c r="AX13" s="25">
        <f>F13*AP13</f>
        <v>0</v>
      </c>
      <c r="AY13" s="27" t="s">
        <v>56</v>
      </c>
      <c r="AZ13" s="27" t="s">
        <v>57</v>
      </c>
      <c r="BA13" s="10" t="s">
        <v>58</v>
      </c>
      <c r="BC13" s="25">
        <f>AW13+AX13</f>
        <v>0</v>
      </c>
      <c r="BD13" s="25">
        <f>G13/(100-BE13)*100</f>
        <v>0</v>
      </c>
      <c r="BE13" s="25">
        <v>0</v>
      </c>
      <c r="BF13" s="25">
        <f>13</f>
        <v>13</v>
      </c>
      <c r="BH13" s="25">
        <f>F13*AO13</f>
        <v>0</v>
      </c>
      <c r="BI13" s="25">
        <f>F13*AP13</f>
        <v>0</v>
      </c>
      <c r="BJ13" s="25">
        <f>F13*G13</f>
        <v>0</v>
      </c>
      <c r="BK13" s="25"/>
      <c r="BL13" s="25">
        <v>11</v>
      </c>
      <c r="BW13" s="25">
        <v>21</v>
      </c>
    </row>
    <row r="14" spans="1:75" ht="40.5" customHeight="1" x14ac:dyDescent="0.25">
      <c r="A14" s="28"/>
      <c r="B14" s="29" t="s">
        <v>59</v>
      </c>
      <c r="C14" s="97" t="s">
        <v>60</v>
      </c>
      <c r="D14" s="98"/>
      <c r="E14" s="98"/>
      <c r="F14" s="98"/>
      <c r="G14" s="99"/>
      <c r="H14" s="98"/>
      <c r="I14" s="98"/>
      <c r="J14" s="98"/>
      <c r="K14" s="98"/>
      <c r="L14" s="100"/>
    </row>
    <row r="15" spans="1:75" ht="27" customHeight="1" x14ac:dyDescent="0.25">
      <c r="A15" s="2" t="s">
        <v>61</v>
      </c>
      <c r="B15" s="3" t="s">
        <v>62</v>
      </c>
      <c r="C15" s="91" t="s">
        <v>63</v>
      </c>
      <c r="D15" s="92"/>
      <c r="E15" s="3" t="s">
        <v>54</v>
      </c>
      <c r="F15" s="25">
        <v>1123.45</v>
      </c>
      <c r="G15" s="26">
        <v>0</v>
      </c>
      <c r="H15" s="25">
        <f>F15*AO15</f>
        <v>0</v>
      </c>
      <c r="I15" s="25">
        <f>F15*AP15</f>
        <v>0</v>
      </c>
      <c r="J15" s="25">
        <f>F15*G15</f>
        <v>0</v>
      </c>
      <c r="K15" s="27" t="s">
        <v>55</v>
      </c>
      <c r="L15" s="24"/>
      <c r="Z15" s="25">
        <f>IF(AQ15="5",BJ15,0)</f>
        <v>0</v>
      </c>
      <c r="AB15" s="25">
        <f>IF(AQ15="1",BH15,0)</f>
        <v>0</v>
      </c>
      <c r="AC15" s="25">
        <f>IF(AQ15="1",BI15,0)</f>
        <v>0</v>
      </c>
      <c r="AD15" s="25">
        <f>IF(AQ15="7",BH15,0)</f>
        <v>0</v>
      </c>
      <c r="AE15" s="25">
        <f>IF(AQ15="7",BI15,0)</f>
        <v>0</v>
      </c>
      <c r="AF15" s="25">
        <f>IF(AQ15="2",BH15,0)</f>
        <v>0</v>
      </c>
      <c r="AG15" s="25">
        <f>IF(AQ15="2",BI15,0)</f>
        <v>0</v>
      </c>
      <c r="AH15" s="25">
        <f>IF(AQ15="0",BJ15,0)</f>
        <v>0</v>
      </c>
      <c r="AI15" s="10" t="s">
        <v>48</v>
      </c>
      <c r="AJ15" s="25">
        <f>IF(AN15=0,J15,0)</f>
        <v>0</v>
      </c>
      <c r="AK15" s="25">
        <f>IF(AN15=12,J15,0)</f>
        <v>0</v>
      </c>
      <c r="AL15" s="25">
        <f>IF(AN15=21,J15,0)</f>
        <v>0</v>
      </c>
      <c r="AN15" s="25">
        <v>21</v>
      </c>
      <c r="AO15" s="25">
        <f>G15*0</f>
        <v>0</v>
      </c>
      <c r="AP15" s="25">
        <f>G15*(1-0)</f>
        <v>0</v>
      </c>
      <c r="AQ15" s="27" t="s">
        <v>51</v>
      </c>
      <c r="AV15" s="25">
        <f>AW15+AX15</f>
        <v>0</v>
      </c>
      <c r="AW15" s="25">
        <f>F15*AO15</f>
        <v>0</v>
      </c>
      <c r="AX15" s="25">
        <f>F15*AP15</f>
        <v>0</v>
      </c>
      <c r="AY15" s="27" t="s">
        <v>56</v>
      </c>
      <c r="AZ15" s="27" t="s">
        <v>57</v>
      </c>
      <c r="BA15" s="10" t="s">
        <v>58</v>
      </c>
      <c r="BC15" s="25">
        <f>AW15+AX15</f>
        <v>0</v>
      </c>
      <c r="BD15" s="25">
        <f>G15/(100-BE15)*100</f>
        <v>0</v>
      </c>
      <c r="BE15" s="25">
        <v>0</v>
      </c>
      <c r="BF15" s="25">
        <f>15</f>
        <v>15</v>
      </c>
      <c r="BH15" s="25">
        <f>F15*AO15</f>
        <v>0</v>
      </c>
      <c r="BI15" s="25">
        <f>F15*AP15</f>
        <v>0</v>
      </c>
      <c r="BJ15" s="25">
        <f>F15*G15</f>
        <v>0</v>
      </c>
      <c r="BK15" s="25"/>
      <c r="BL15" s="25">
        <v>11</v>
      </c>
      <c r="BW15" s="25">
        <v>21</v>
      </c>
    </row>
    <row r="16" spans="1:75" ht="27" customHeight="1" x14ac:dyDescent="0.25">
      <c r="A16" s="28"/>
      <c r="B16" s="29" t="s">
        <v>59</v>
      </c>
      <c r="C16" s="97" t="s">
        <v>64</v>
      </c>
      <c r="D16" s="98"/>
      <c r="E16" s="98"/>
      <c r="F16" s="98"/>
      <c r="G16" s="99"/>
      <c r="H16" s="98"/>
      <c r="I16" s="98"/>
      <c r="J16" s="98"/>
      <c r="K16" s="98"/>
      <c r="L16" s="100"/>
    </row>
    <row r="17" spans="1:75" x14ac:dyDescent="0.25">
      <c r="A17" s="30" t="s">
        <v>48</v>
      </c>
      <c r="B17" s="31" t="s">
        <v>65</v>
      </c>
      <c r="C17" s="93" t="s">
        <v>66</v>
      </c>
      <c r="D17" s="94"/>
      <c r="E17" s="32" t="s">
        <v>4</v>
      </c>
      <c r="F17" s="32" t="s">
        <v>4</v>
      </c>
      <c r="G17" s="89" t="s">
        <v>4</v>
      </c>
      <c r="H17" s="1">
        <f>SUM(H18:H18)</f>
        <v>0</v>
      </c>
      <c r="I17" s="1">
        <f>SUM(I18:I18)</f>
        <v>0</v>
      </c>
      <c r="J17" s="1">
        <f>SUM(J18:J18)</f>
        <v>0</v>
      </c>
      <c r="K17" s="10" t="s">
        <v>48</v>
      </c>
      <c r="L17" s="24"/>
      <c r="AI17" s="10" t="s">
        <v>48</v>
      </c>
      <c r="AS17" s="1">
        <f>SUM(AJ18:AJ18)</f>
        <v>0</v>
      </c>
      <c r="AT17" s="1">
        <f>SUM(AK18:AK18)</f>
        <v>0</v>
      </c>
      <c r="AU17" s="1">
        <f>SUM(AL18:AL18)</f>
        <v>0</v>
      </c>
    </row>
    <row r="18" spans="1:75" ht="27" customHeight="1" x14ac:dyDescent="0.25">
      <c r="A18" s="2" t="s">
        <v>67</v>
      </c>
      <c r="B18" s="3" t="s">
        <v>68</v>
      </c>
      <c r="C18" s="91" t="s">
        <v>69</v>
      </c>
      <c r="D18" s="92"/>
      <c r="E18" s="3" t="s">
        <v>70</v>
      </c>
      <c r="F18" s="25">
        <v>1650.78</v>
      </c>
      <c r="G18" s="26">
        <v>0</v>
      </c>
      <c r="H18" s="25">
        <f>F18*AO18</f>
        <v>0</v>
      </c>
      <c r="I18" s="25">
        <f>F18*AP18</f>
        <v>0</v>
      </c>
      <c r="J18" s="25">
        <f>F18*G18</f>
        <v>0</v>
      </c>
      <c r="K18" s="27" t="s">
        <v>55</v>
      </c>
      <c r="L18" s="24"/>
      <c r="Z18" s="25">
        <f>IF(AQ18="5",BJ18,0)</f>
        <v>0</v>
      </c>
      <c r="AB18" s="25">
        <f>IF(AQ18="1",BH18,0)</f>
        <v>0</v>
      </c>
      <c r="AC18" s="25">
        <f>IF(AQ18="1",BI18,0)</f>
        <v>0</v>
      </c>
      <c r="AD18" s="25">
        <f>IF(AQ18="7",BH18,0)</f>
        <v>0</v>
      </c>
      <c r="AE18" s="25">
        <f>IF(AQ18="7",BI18,0)</f>
        <v>0</v>
      </c>
      <c r="AF18" s="25">
        <f>IF(AQ18="2",BH18,0)</f>
        <v>0</v>
      </c>
      <c r="AG18" s="25">
        <f>IF(AQ18="2",BI18,0)</f>
        <v>0</v>
      </c>
      <c r="AH18" s="25">
        <f>IF(AQ18="0",BJ18,0)</f>
        <v>0</v>
      </c>
      <c r="AI18" s="10" t="s">
        <v>48</v>
      </c>
      <c r="AJ18" s="25">
        <f>IF(AN18=0,J18,0)</f>
        <v>0</v>
      </c>
      <c r="AK18" s="25">
        <f>IF(AN18=12,J18,0)</f>
        <v>0</v>
      </c>
      <c r="AL18" s="25">
        <f>IF(AN18=21,J18,0)</f>
        <v>0</v>
      </c>
      <c r="AN18" s="25">
        <v>21</v>
      </c>
      <c r="AO18" s="25">
        <f>G18*0</f>
        <v>0</v>
      </c>
      <c r="AP18" s="25">
        <f>G18*(1-0)</f>
        <v>0</v>
      </c>
      <c r="AQ18" s="27" t="s">
        <v>51</v>
      </c>
      <c r="AV18" s="25">
        <f>AW18+AX18</f>
        <v>0</v>
      </c>
      <c r="AW18" s="25">
        <f>F18*AO18</f>
        <v>0</v>
      </c>
      <c r="AX18" s="25">
        <f>F18*AP18</f>
        <v>0</v>
      </c>
      <c r="AY18" s="27" t="s">
        <v>71</v>
      </c>
      <c r="AZ18" s="27" t="s">
        <v>57</v>
      </c>
      <c r="BA18" s="10" t="s">
        <v>58</v>
      </c>
      <c r="BC18" s="25">
        <f>AW18+AX18</f>
        <v>0</v>
      </c>
      <c r="BD18" s="25">
        <f>G18/(100-BE18)*100</f>
        <v>0</v>
      </c>
      <c r="BE18" s="25">
        <v>0</v>
      </c>
      <c r="BF18" s="25">
        <f>18</f>
        <v>18</v>
      </c>
      <c r="BH18" s="25">
        <f>F18*AO18</f>
        <v>0</v>
      </c>
      <c r="BI18" s="25">
        <f>F18*AP18</f>
        <v>0</v>
      </c>
      <c r="BJ18" s="25">
        <f>F18*G18</f>
        <v>0</v>
      </c>
      <c r="BK18" s="25"/>
      <c r="BL18" s="25">
        <v>13</v>
      </c>
      <c r="BW18" s="25">
        <v>21</v>
      </c>
    </row>
    <row r="19" spans="1:75" ht="40.5" customHeight="1" x14ac:dyDescent="0.25">
      <c r="A19" s="28"/>
      <c r="B19" s="29" t="s">
        <v>59</v>
      </c>
      <c r="C19" s="97" t="s">
        <v>72</v>
      </c>
      <c r="D19" s="98"/>
      <c r="E19" s="98"/>
      <c r="F19" s="98"/>
      <c r="G19" s="99"/>
      <c r="H19" s="98"/>
      <c r="I19" s="98"/>
      <c r="J19" s="98"/>
      <c r="K19" s="98"/>
      <c r="L19" s="100"/>
    </row>
    <row r="20" spans="1:75" x14ac:dyDescent="0.25">
      <c r="A20" s="30" t="s">
        <v>48</v>
      </c>
      <c r="B20" s="31" t="s">
        <v>73</v>
      </c>
      <c r="C20" s="93" t="s">
        <v>74</v>
      </c>
      <c r="D20" s="94"/>
      <c r="E20" s="32" t="s">
        <v>4</v>
      </c>
      <c r="F20" s="32" t="s">
        <v>4</v>
      </c>
      <c r="G20" s="89" t="s">
        <v>4</v>
      </c>
      <c r="H20" s="1">
        <f>SUM(H21:H21)</f>
        <v>0</v>
      </c>
      <c r="I20" s="1">
        <f>SUM(I21:I21)</f>
        <v>0</v>
      </c>
      <c r="J20" s="1">
        <f>SUM(J21:J21)</f>
        <v>0</v>
      </c>
      <c r="K20" s="10" t="s">
        <v>48</v>
      </c>
      <c r="L20" s="24"/>
      <c r="AI20" s="10" t="s">
        <v>48</v>
      </c>
      <c r="AS20" s="1">
        <f>SUM(AJ21:AJ21)</f>
        <v>0</v>
      </c>
      <c r="AT20" s="1">
        <f>SUM(AK21:AK21)</f>
        <v>0</v>
      </c>
      <c r="AU20" s="1">
        <f>SUM(AL21:AL21)</f>
        <v>0</v>
      </c>
    </row>
    <row r="21" spans="1:75" ht="27" customHeight="1" x14ac:dyDescent="0.25">
      <c r="A21" s="2" t="s">
        <v>75</v>
      </c>
      <c r="B21" s="3" t="s">
        <v>76</v>
      </c>
      <c r="C21" s="91" t="s">
        <v>77</v>
      </c>
      <c r="D21" s="92"/>
      <c r="E21" s="3" t="s">
        <v>70</v>
      </c>
      <c r="F21" s="25">
        <v>2032.75</v>
      </c>
      <c r="G21" s="26">
        <v>0</v>
      </c>
      <c r="H21" s="25">
        <f>F21*AO21</f>
        <v>0</v>
      </c>
      <c r="I21" s="25">
        <f>F21*AP21</f>
        <v>0</v>
      </c>
      <c r="J21" s="25">
        <f>F21*G21</f>
        <v>0</v>
      </c>
      <c r="K21" s="27" t="s">
        <v>55</v>
      </c>
      <c r="L21" s="24"/>
      <c r="Z21" s="25">
        <f>IF(AQ21="5",BJ21,0)</f>
        <v>0</v>
      </c>
      <c r="AB21" s="25">
        <f>IF(AQ21="1",BH21,0)</f>
        <v>0</v>
      </c>
      <c r="AC21" s="25">
        <f>IF(AQ21="1",BI21,0)</f>
        <v>0</v>
      </c>
      <c r="AD21" s="25">
        <f>IF(AQ21="7",BH21,0)</f>
        <v>0</v>
      </c>
      <c r="AE21" s="25">
        <f>IF(AQ21="7",BI21,0)</f>
        <v>0</v>
      </c>
      <c r="AF21" s="25">
        <f>IF(AQ21="2",BH21,0)</f>
        <v>0</v>
      </c>
      <c r="AG21" s="25">
        <f>IF(AQ21="2",BI21,0)</f>
        <v>0</v>
      </c>
      <c r="AH21" s="25">
        <f>IF(AQ21="0",BJ21,0)</f>
        <v>0</v>
      </c>
      <c r="AI21" s="10" t="s">
        <v>48</v>
      </c>
      <c r="AJ21" s="25">
        <f>IF(AN21=0,J21,0)</f>
        <v>0</v>
      </c>
      <c r="AK21" s="25">
        <f>IF(AN21=12,J21,0)</f>
        <v>0</v>
      </c>
      <c r="AL21" s="25">
        <f>IF(AN21=21,J21,0)</f>
        <v>0</v>
      </c>
      <c r="AN21" s="25">
        <v>21</v>
      </c>
      <c r="AO21" s="25">
        <f>G21*0</f>
        <v>0</v>
      </c>
      <c r="AP21" s="25">
        <f>G21*(1-0)</f>
        <v>0</v>
      </c>
      <c r="AQ21" s="27" t="s">
        <v>51</v>
      </c>
      <c r="AV21" s="25">
        <f>AW21+AX21</f>
        <v>0</v>
      </c>
      <c r="AW21" s="25">
        <f>F21*AO21</f>
        <v>0</v>
      </c>
      <c r="AX21" s="25">
        <f>F21*AP21</f>
        <v>0</v>
      </c>
      <c r="AY21" s="27" t="s">
        <v>78</v>
      </c>
      <c r="AZ21" s="27" t="s">
        <v>57</v>
      </c>
      <c r="BA21" s="10" t="s">
        <v>58</v>
      </c>
      <c r="BC21" s="25">
        <f>AW21+AX21</f>
        <v>0</v>
      </c>
      <c r="BD21" s="25">
        <f>G21/(100-BE21)*100</f>
        <v>0</v>
      </c>
      <c r="BE21" s="25">
        <v>0</v>
      </c>
      <c r="BF21" s="25">
        <f>21</f>
        <v>21</v>
      </c>
      <c r="BH21" s="25">
        <f>F21*AO21</f>
        <v>0</v>
      </c>
      <c r="BI21" s="25">
        <f>F21*AP21</f>
        <v>0</v>
      </c>
      <c r="BJ21" s="25">
        <f>F21*G21</f>
        <v>0</v>
      </c>
      <c r="BK21" s="25"/>
      <c r="BL21" s="25">
        <v>16</v>
      </c>
      <c r="BW21" s="25">
        <v>21</v>
      </c>
    </row>
    <row r="22" spans="1:75" x14ac:dyDescent="0.25">
      <c r="A22" s="30" t="s">
        <v>48</v>
      </c>
      <c r="B22" s="31" t="s">
        <v>79</v>
      </c>
      <c r="C22" s="93" t="s">
        <v>80</v>
      </c>
      <c r="D22" s="94"/>
      <c r="E22" s="32" t="s">
        <v>4</v>
      </c>
      <c r="F22" s="32" t="s">
        <v>4</v>
      </c>
      <c r="G22" s="89" t="s">
        <v>4</v>
      </c>
      <c r="H22" s="1">
        <f>SUM(H23:H35)</f>
        <v>0</v>
      </c>
      <c r="I22" s="1">
        <f>SUM(I23:I35)</f>
        <v>0</v>
      </c>
      <c r="J22" s="1">
        <f>SUM(J23:J35)</f>
        <v>0</v>
      </c>
      <c r="K22" s="10" t="s">
        <v>48</v>
      </c>
      <c r="L22" s="24"/>
      <c r="AI22" s="10" t="s">
        <v>48</v>
      </c>
      <c r="AS22" s="1">
        <f>SUM(AJ23:AJ35)</f>
        <v>0</v>
      </c>
      <c r="AT22" s="1">
        <f>SUM(AK23:AK35)</f>
        <v>0</v>
      </c>
      <c r="AU22" s="1">
        <f>SUM(AL23:AL35)</f>
        <v>0</v>
      </c>
    </row>
    <row r="23" spans="1:75" ht="27" customHeight="1" x14ac:dyDescent="0.25">
      <c r="A23" s="2" t="s">
        <v>81</v>
      </c>
      <c r="B23" s="3" t="s">
        <v>82</v>
      </c>
      <c r="C23" s="91" t="s">
        <v>83</v>
      </c>
      <c r="D23" s="92"/>
      <c r="E23" s="3" t="s">
        <v>70</v>
      </c>
      <c r="F23" s="25">
        <v>376.61</v>
      </c>
      <c r="G23" s="26">
        <v>0</v>
      </c>
      <c r="H23" s="25">
        <f>F23*AO23</f>
        <v>0</v>
      </c>
      <c r="I23" s="25">
        <f>F23*AP23</f>
        <v>0</v>
      </c>
      <c r="J23" s="25">
        <f>F23*G23</f>
        <v>0</v>
      </c>
      <c r="K23" s="27" t="s">
        <v>55</v>
      </c>
      <c r="L23" s="24"/>
      <c r="Z23" s="25">
        <f>IF(AQ23="5",BJ23,0)</f>
        <v>0</v>
      </c>
      <c r="AB23" s="25">
        <f>IF(AQ23="1",BH23,0)</f>
        <v>0</v>
      </c>
      <c r="AC23" s="25">
        <f>IF(AQ23="1",BI23,0)</f>
        <v>0</v>
      </c>
      <c r="AD23" s="25">
        <f>IF(AQ23="7",BH23,0)</f>
        <v>0</v>
      </c>
      <c r="AE23" s="25">
        <f>IF(AQ23="7",BI23,0)</f>
        <v>0</v>
      </c>
      <c r="AF23" s="25">
        <f>IF(AQ23="2",BH23,0)</f>
        <v>0</v>
      </c>
      <c r="AG23" s="25">
        <f>IF(AQ23="2",BI23,0)</f>
        <v>0</v>
      </c>
      <c r="AH23" s="25">
        <f>IF(AQ23="0",BJ23,0)</f>
        <v>0</v>
      </c>
      <c r="AI23" s="10" t="s">
        <v>48</v>
      </c>
      <c r="AJ23" s="25">
        <f>IF(AN23=0,J23,0)</f>
        <v>0</v>
      </c>
      <c r="AK23" s="25">
        <f>IF(AN23=12,J23,0)</f>
        <v>0</v>
      </c>
      <c r="AL23" s="25">
        <f>IF(AN23=21,J23,0)</f>
        <v>0</v>
      </c>
      <c r="AN23" s="25">
        <v>21</v>
      </c>
      <c r="AO23" s="25">
        <f>G23*0.686056995</f>
        <v>0</v>
      </c>
      <c r="AP23" s="25">
        <f>G23*(1-0.686056995)</f>
        <v>0</v>
      </c>
      <c r="AQ23" s="27" t="s">
        <v>51</v>
      </c>
      <c r="AV23" s="25">
        <f>AW23+AX23</f>
        <v>0</v>
      </c>
      <c r="AW23" s="25">
        <f>F23*AO23</f>
        <v>0</v>
      </c>
      <c r="AX23" s="25">
        <f>F23*AP23</f>
        <v>0</v>
      </c>
      <c r="AY23" s="27" t="s">
        <v>84</v>
      </c>
      <c r="AZ23" s="27" t="s">
        <v>85</v>
      </c>
      <c r="BA23" s="10" t="s">
        <v>58</v>
      </c>
      <c r="BC23" s="25">
        <f>AW23+AX23</f>
        <v>0</v>
      </c>
      <c r="BD23" s="25">
        <f>G23/(100-BE23)*100</f>
        <v>0</v>
      </c>
      <c r="BE23" s="25">
        <v>0</v>
      </c>
      <c r="BF23" s="25">
        <f>23</f>
        <v>23</v>
      </c>
      <c r="BH23" s="25">
        <f>F23*AO23</f>
        <v>0</v>
      </c>
      <c r="BI23" s="25">
        <f>F23*AP23</f>
        <v>0</v>
      </c>
      <c r="BJ23" s="25">
        <f>F23*G23</f>
        <v>0</v>
      </c>
      <c r="BK23" s="25"/>
      <c r="BL23" s="25">
        <v>27</v>
      </c>
      <c r="BW23" s="25">
        <v>21</v>
      </c>
    </row>
    <row r="24" spans="1:75" ht="13.5" customHeight="1" x14ac:dyDescent="0.25">
      <c r="A24" s="2" t="s">
        <v>86</v>
      </c>
      <c r="B24" s="3" t="s">
        <v>87</v>
      </c>
      <c r="C24" s="91" t="s">
        <v>88</v>
      </c>
      <c r="D24" s="92"/>
      <c r="E24" s="3" t="s">
        <v>70</v>
      </c>
      <c r="F24" s="25">
        <v>161.4</v>
      </c>
      <c r="G24" s="26">
        <v>0</v>
      </c>
      <c r="H24" s="25">
        <f>F24*AO24</f>
        <v>0</v>
      </c>
      <c r="I24" s="25">
        <f>F24*AP24</f>
        <v>0</v>
      </c>
      <c r="J24" s="25">
        <f>F24*G24</f>
        <v>0</v>
      </c>
      <c r="K24" s="27" t="s">
        <v>55</v>
      </c>
      <c r="L24" s="24"/>
      <c r="Z24" s="25">
        <f>IF(AQ24="5",BJ24,0)</f>
        <v>0</v>
      </c>
      <c r="AB24" s="25">
        <f>IF(AQ24="1",BH24,0)</f>
        <v>0</v>
      </c>
      <c r="AC24" s="25">
        <f>IF(AQ24="1",BI24,0)</f>
        <v>0</v>
      </c>
      <c r="AD24" s="25">
        <f>IF(AQ24="7",BH24,0)</f>
        <v>0</v>
      </c>
      <c r="AE24" s="25">
        <f>IF(AQ24="7",BI24,0)</f>
        <v>0</v>
      </c>
      <c r="AF24" s="25">
        <f>IF(AQ24="2",BH24,0)</f>
        <v>0</v>
      </c>
      <c r="AG24" s="25">
        <f>IF(AQ24="2",BI24,0)</f>
        <v>0</v>
      </c>
      <c r="AH24" s="25">
        <f>IF(AQ24="0",BJ24,0)</f>
        <v>0</v>
      </c>
      <c r="AI24" s="10" t="s">
        <v>48</v>
      </c>
      <c r="AJ24" s="25">
        <f>IF(AN24=0,J24,0)</f>
        <v>0</v>
      </c>
      <c r="AK24" s="25">
        <f>IF(AN24=12,J24,0)</f>
        <v>0</v>
      </c>
      <c r="AL24" s="25">
        <f>IF(AN24=21,J24,0)</f>
        <v>0</v>
      </c>
      <c r="AN24" s="25">
        <v>21</v>
      </c>
      <c r="AO24" s="25">
        <f>G24*0.908646713</f>
        <v>0</v>
      </c>
      <c r="AP24" s="25">
        <f>G24*(1-0.908646713)</f>
        <v>0</v>
      </c>
      <c r="AQ24" s="27" t="s">
        <v>51</v>
      </c>
      <c r="AV24" s="25">
        <f>AW24+AX24</f>
        <v>0</v>
      </c>
      <c r="AW24" s="25">
        <f>F24*AO24</f>
        <v>0</v>
      </c>
      <c r="AX24" s="25">
        <f>F24*AP24</f>
        <v>0</v>
      </c>
      <c r="AY24" s="27" t="s">
        <v>84</v>
      </c>
      <c r="AZ24" s="27" t="s">
        <v>85</v>
      </c>
      <c r="BA24" s="10" t="s">
        <v>58</v>
      </c>
      <c r="BC24" s="25">
        <f>AW24+AX24</f>
        <v>0</v>
      </c>
      <c r="BD24" s="25">
        <f>G24/(100-BE24)*100</f>
        <v>0</v>
      </c>
      <c r="BE24" s="25">
        <v>0</v>
      </c>
      <c r="BF24" s="25">
        <f>24</f>
        <v>24</v>
      </c>
      <c r="BH24" s="25">
        <f>F24*AO24</f>
        <v>0</v>
      </c>
      <c r="BI24" s="25">
        <f>F24*AP24</f>
        <v>0</v>
      </c>
      <c r="BJ24" s="25">
        <f>F24*G24</f>
        <v>0</v>
      </c>
      <c r="BK24" s="25"/>
      <c r="BL24" s="25">
        <v>27</v>
      </c>
      <c r="BW24" s="25">
        <v>21</v>
      </c>
    </row>
    <row r="25" spans="1:75" ht="13.5" customHeight="1" x14ac:dyDescent="0.25">
      <c r="A25" s="28"/>
      <c r="B25" s="29" t="s">
        <v>59</v>
      </c>
      <c r="C25" s="97" t="s">
        <v>89</v>
      </c>
      <c r="D25" s="98"/>
      <c r="E25" s="98"/>
      <c r="F25" s="98"/>
      <c r="G25" s="99"/>
      <c r="H25" s="98"/>
      <c r="I25" s="98"/>
      <c r="J25" s="98"/>
      <c r="K25" s="98"/>
      <c r="L25" s="100"/>
    </row>
    <row r="26" spans="1:75" ht="27" customHeight="1" x14ac:dyDescent="0.25">
      <c r="A26" s="2" t="s">
        <v>90</v>
      </c>
      <c r="B26" s="3" t="s">
        <v>91</v>
      </c>
      <c r="C26" s="91" t="s">
        <v>92</v>
      </c>
      <c r="D26" s="92"/>
      <c r="E26" s="3" t="s">
        <v>93</v>
      </c>
      <c r="F26" s="25">
        <v>26.88</v>
      </c>
      <c r="G26" s="26">
        <v>0</v>
      </c>
      <c r="H26" s="25">
        <f>F26*AO26</f>
        <v>0</v>
      </c>
      <c r="I26" s="25">
        <f>F26*AP26</f>
        <v>0</v>
      </c>
      <c r="J26" s="25">
        <f>F26*G26</f>
        <v>0</v>
      </c>
      <c r="K26" s="27" t="s">
        <v>55</v>
      </c>
      <c r="L26" s="24"/>
      <c r="Z26" s="25">
        <f>IF(AQ26="5",BJ26,0)</f>
        <v>0</v>
      </c>
      <c r="AB26" s="25">
        <f>IF(AQ26="1",BH26,0)</f>
        <v>0</v>
      </c>
      <c r="AC26" s="25">
        <f>IF(AQ26="1",BI26,0)</f>
        <v>0</v>
      </c>
      <c r="AD26" s="25">
        <f>IF(AQ26="7",BH26,0)</f>
        <v>0</v>
      </c>
      <c r="AE26" s="25">
        <f>IF(AQ26="7",BI26,0)</f>
        <v>0</v>
      </c>
      <c r="AF26" s="25">
        <f>IF(AQ26="2",BH26,0)</f>
        <v>0</v>
      </c>
      <c r="AG26" s="25">
        <f>IF(AQ26="2",BI26,0)</f>
        <v>0</v>
      </c>
      <c r="AH26" s="25">
        <f>IF(AQ26="0",BJ26,0)</f>
        <v>0</v>
      </c>
      <c r="AI26" s="10" t="s">
        <v>48</v>
      </c>
      <c r="AJ26" s="25">
        <f>IF(AN26=0,J26,0)</f>
        <v>0</v>
      </c>
      <c r="AK26" s="25">
        <f>IF(AN26=12,J26,0)</f>
        <v>0</v>
      </c>
      <c r="AL26" s="25">
        <f>IF(AN26=21,J26,0)</f>
        <v>0</v>
      </c>
      <c r="AN26" s="25">
        <v>21</v>
      </c>
      <c r="AO26" s="25">
        <f>G26*0.79921261</f>
        <v>0</v>
      </c>
      <c r="AP26" s="25">
        <f>G26*(1-0.79921261)</f>
        <v>0</v>
      </c>
      <c r="AQ26" s="27" t="s">
        <v>51</v>
      </c>
      <c r="AV26" s="25">
        <f>AW26+AX26</f>
        <v>0</v>
      </c>
      <c r="AW26" s="25">
        <f>F26*AO26</f>
        <v>0</v>
      </c>
      <c r="AX26" s="25">
        <f>F26*AP26</f>
        <v>0</v>
      </c>
      <c r="AY26" s="27" t="s">
        <v>84</v>
      </c>
      <c r="AZ26" s="27" t="s">
        <v>85</v>
      </c>
      <c r="BA26" s="10" t="s">
        <v>58</v>
      </c>
      <c r="BC26" s="25">
        <f>AW26+AX26</f>
        <v>0</v>
      </c>
      <c r="BD26" s="25">
        <f>G26/(100-BE26)*100</f>
        <v>0</v>
      </c>
      <c r="BE26" s="25">
        <v>0</v>
      </c>
      <c r="BF26" s="25">
        <f>26</f>
        <v>26</v>
      </c>
      <c r="BH26" s="25">
        <f>F26*AO26</f>
        <v>0</v>
      </c>
      <c r="BI26" s="25">
        <f>F26*AP26</f>
        <v>0</v>
      </c>
      <c r="BJ26" s="25">
        <f>F26*G26</f>
        <v>0</v>
      </c>
      <c r="BK26" s="25"/>
      <c r="BL26" s="25">
        <v>27</v>
      </c>
      <c r="BW26" s="25">
        <v>21</v>
      </c>
    </row>
    <row r="27" spans="1:75" ht="13.5" customHeight="1" x14ac:dyDescent="0.25">
      <c r="A27" s="28"/>
      <c r="B27" s="29" t="s">
        <v>94</v>
      </c>
      <c r="C27" s="97" t="s">
        <v>95</v>
      </c>
      <c r="D27" s="98"/>
      <c r="E27" s="98"/>
      <c r="F27" s="98"/>
      <c r="G27" s="99"/>
      <c r="H27" s="98"/>
      <c r="I27" s="98"/>
      <c r="J27" s="98"/>
      <c r="K27" s="98"/>
      <c r="L27" s="100"/>
    </row>
    <row r="28" spans="1:75" ht="27" customHeight="1" x14ac:dyDescent="0.25">
      <c r="A28" s="28"/>
      <c r="B28" s="29" t="s">
        <v>59</v>
      </c>
      <c r="C28" s="97" t="s">
        <v>96</v>
      </c>
      <c r="D28" s="98"/>
      <c r="E28" s="98"/>
      <c r="F28" s="98"/>
      <c r="G28" s="99"/>
      <c r="H28" s="98"/>
      <c r="I28" s="98"/>
      <c r="J28" s="98"/>
      <c r="K28" s="98"/>
      <c r="L28" s="100"/>
    </row>
    <row r="29" spans="1:75" ht="27" customHeight="1" x14ac:dyDescent="0.25">
      <c r="A29" s="2" t="s">
        <v>97</v>
      </c>
      <c r="B29" s="3" t="s">
        <v>98</v>
      </c>
      <c r="C29" s="91" t="s">
        <v>99</v>
      </c>
      <c r="D29" s="92"/>
      <c r="E29" s="3" t="s">
        <v>70</v>
      </c>
      <c r="F29" s="25">
        <v>424.23</v>
      </c>
      <c r="G29" s="26">
        <v>0</v>
      </c>
      <c r="H29" s="25">
        <f>F29*AO29</f>
        <v>0</v>
      </c>
      <c r="I29" s="25">
        <f>F29*AP29</f>
        <v>0</v>
      </c>
      <c r="J29" s="25">
        <f>F29*G29</f>
        <v>0</v>
      </c>
      <c r="K29" s="27" t="s">
        <v>55</v>
      </c>
      <c r="L29" s="24"/>
      <c r="Z29" s="25">
        <f>IF(AQ29="5",BJ29,0)</f>
        <v>0</v>
      </c>
      <c r="AB29" s="25">
        <f>IF(AQ29="1",BH29,0)</f>
        <v>0</v>
      </c>
      <c r="AC29" s="25">
        <f>IF(AQ29="1",BI29,0)</f>
        <v>0</v>
      </c>
      <c r="AD29" s="25">
        <f>IF(AQ29="7",BH29,0)</f>
        <v>0</v>
      </c>
      <c r="AE29" s="25">
        <f>IF(AQ29="7",BI29,0)</f>
        <v>0</v>
      </c>
      <c r="AF29" s="25">
        <f>IF(AQ29="2",BH29,0)</f>
        <v>0</v>
      </c>
      <c r="AG29" s="25">
        <f>IF(AQ29="2",BI29,0)</f>
        <v>0</v>
      </c>
      <c r="AH29" s="25">
        <f>IF(AQ29="0",BJ29,0)</f>
        <v>0</v>
      </c>
      <c r="AI29" s="10" t="s">
        <v>48</v>
      </c>
      <c r="AJ29" s="25">
        <f>IF(AN29=0,J29,0)</f>
        <v>0</v>
      </c>
      <c r="AK29" s="25">
        <f>IF(AN29=12,J29,0)</f>
        <v>0</v>
      </c>
      <c r="AL29" s="25">
        <f>IF(AN29=21,J29,0)</f>
        <v>0</v>
      </c>
      <c r="AN29" s="25">
        <v>21</v>
      </c>
      <c r="AO29" s="25">
        <f>G29*0.930234006</f>
        <v>0</v>
      </c>
      <c r="AP29" s="25">
        <f>G29*(1-0.930234006)</f>
        <v>0</v>
      </c>
      <c r="AQ29" s="27" t="s">
        <v>51</v>
      </c>
      <c r="AV29" s="25">
        <f>AW29+AX29</f>
        <v>0</v>
      </c>
      <c r="AW29" s="25">
        <f>F29*AO29</f>
        <v>0</v>
      </c>
      <c r="AX29" s="25">
        <f>F29*AP29</f>
        <v>0</v>
      </c>
      <c r="AY29" s="27" t="s">
        <v>84</v>
      </c>
      <c r="AZ29" s="27" t="s">
        <v>85</v>
      </c>
      <c r="BA29" s="10" t="s">
        <v>58</v>
      </c>
      <c r="BC29" s="25">
        <f>AW29+AX29</f>
        <v>0</v>
      </c>
      <c r="BD29" s="25">
        <f>G29/(100-BE29)*100</f>
        <v>0</v>
      </c>
      <c r="BE29" s="25">
        <v>0</v>
      </c>
      <c r="BF29" s="25">
        <f>29</f>
        <v>29</v>
      </c>
      <c r="BH29" s="25">
        <f>F29*AO29</f>
        <v>0</v>
      </c>
      <c r="BI29" s="25">
        <f>F29*AP29</f>
        <v>0</v>
      </c>
      <c r="BJ29" s="25">
        <f>F29*G29</f>
        <v>0</v>
      </c>
      <c r="BK29" s="25"/>
      <c r="BL29" s="25">
        <v>27</v>
      </c>
      <c r="BW29" s="25">
        <v>21</v>
      </c>
    </row>
    <row r="30" spans="1:75" ht="13.5" customHeight="1" x14ac:dyDescent="0.25">
      <c r="A30" s="28"/>
      <c r="B30" s="29" t="s">
        <v>94</v>
      </c>
      <c r="C30" s="97" t="s">
        <v>100</v>
      </c>
      <c r="D30" s="98"/>
      <c r="E30" s="98"/>
      <c r="F30" s="98"/>
      <c r="G30" s="99"/>
      <c r="H30" s="98"/>
      <c r="I30" s="98"/>
      <c r="J30" s="98"/>
      <c r="K30" s="98"/>
      <c r="L30" s="100"/>
    </row>
    <row r="31" spans="1:75" ht="13.5" customHeight="1" x14ac:dyDescent="0.25">
      <c r="A31" s="28"/>
      <c r="B31" s="29" t="s">
        <v>59</v>
      </c>
      <c r="C31" s="97" t="s">
        <v>101</v>
      </c>
      <c r="D31" s="98"/>
      <c r="E31" s="98"/>
      <c r="F31" s="98"/>
      <c r="G31" s="99"/>
      <c r="H31" s="98"/>
      <c r="I31" s="98"/>
      <c r="J31" s="98"/>
      <c r="K31" s="98"/>
      <c r="L31" s="100"/>
    </row>
    <row r="32" spans="1:75" ht="13.5" customHeight="1" x14ac:dyDescent="0.25">
      <c r="A32" s="2" t="s">
        <v>102</v>
      </c>
      <c r="B32" s="3" t="s">
        <v>103</v>
      </c>
      <c r="C32" s="91" t="s">
        <v>104</v>
      </c>
      <c r="D32" s="92"/>
      <c r="E32" s="3" t="s">
        <v>54</v>
      </c>
      <c r="F32" s="25">
        <v>64.95</v>
      </c>
      <c r="G32" s="26">
        <v>0</v>
      </c>
      <c r="H32" s="25">
        <f>F32*AO32</f>
        <v>0</v>
      </c>
      <c r="I32" s="25">
        <f>F32*AP32</f>
        <v>0</v>
      </c>
      <c r="J32" s="25">
        <f>F32*G32</f>
        <v>0</v>
      </c>
      <c r="K32" s="27" t="s">
        <v>55</v>
      </c>
      <c r="L32" s="24"/>
      <c r="Z32" s="25">
        <f>IF(AQ32="5",BJ32,0)</f>
        <v>0</v>
      </c>
      <c r="AB32" s="25">
        <f>IF(AQ32="1",BH32,0)</f>
        <v>0</v>
      </c>
      <c r="AC32" s="25">
        <f>IF(AQ32="1",BI32,0)</f>
        <v>0</v>
      </c>
      <c r="AD32" s="25">
        <f>IF(AQ32="7",BH32,0)</f>
        <v>0</v>
      </c>
      <c r="AE32" s="25">
        <f>IF(AQ32="7",BI32,0)</f>
        <v>0</v>
      </c>
      <c r="AF32" s="25">
        <f>IF(AQ32="2",BH32,0)</f>
        <v>0</v>
      </c>
      <c r="AG32" s="25">
        <f>IF(AQ32="2",BI32,0)</f>
        <v>0</v>
      </c>
      <c r="AH32" s="25">
        <f>IF(AQ32="0",BJ32,0)</f>
        <v>0</v>
      </c>
      <c r="AI32" s="10" t="s">
        <v>48</v>
      </c>
      <c r="AJ32" s="25">
        <f>IF(AN32=0,J32,0)</f>
        <v>0</v>
      </c>
      <c r="AK32" s="25">
        <f>IF(AN32=12,J32,0)</f>
        <v>0</v>
      </c>
      <c r="AL32" s="25">
        <f>IF(AN32=21,J32,0)</f>
        <v>0</v>
      </c>
      <c r="AN32" s="25">
        <v>21</v>
      </c>
      <c r="AO32" s="25">
        <f>G32*0.251445647</f>
        <v>0</v>
      </c>
      <c r="AP32" s="25">
        <f>G32*(1-0.251445647)</f>
        <v>0</v>
      </c>
      <c r="AQ32" s="27" t="s">
        <v>51</v>
      </c>
      <c r="AV32" s="25">
        <f>AW32+AX32</f>
        <v>0</v>
      </c>
      <c r="AW32" s="25">
        <f>F32*AO32</f>
        <v>0</v>
      </c>
      <c r="AX32" s="25">
        <f>F32*AP32</f>
        <v>0</v>
      </c>
      <c r="AY32" s="27" t="s">
        <v>84</v>
      </c>
      <c r="AZ32" s="27" t="s">
        <v>85</v>
      </c>
      <c r="BA32" s="10" t="s">
        <v>58</v>
      </c>
      <c r="BC32" s="25">
        <f>AW32+AX32</f>
        <v>0</v>
      </c>
      <c r="BD32" s="25">
        <f>G32/(100-BE32)*100</f>
        <v>0</v>
      </c>
      <c r="BE32" s="25">
        <v>0</v>
      </c>
      <c r="BF32" s="25">
        <f>32</f>
        <v>32</v>
      </c>
      <c r="BH32" s="25">
        <f>F32*AO32</f>
        <v>0</v>
      </c>
      <c r="BI32" s="25">
        <f>F32*AP32</f>
        <v>0</v>
      </c>
      <c r="BJ32" s="25">
        <f>F32*G32</f>
        <v>0</v>
      </c>
      <c r="BK32" s="25"/>
      <c r="BL32" s="25">
        <v>27</v>
      </c>
      <c r="BW32" s="25">
        <v>21</v>
      </c>
    </row>
    <row r="33" spans="1:75" ht="27" customHeight="1" x14ac:dyDescent="0.25">
      <c r="A33" s="2" t="s">
        <v>105</v>
      </c>
      <c r="B33" s="3" t="s">
        <v>106</v>
      </c>
      <c r="C33" s="91" t="s">
        <v>107</v>
      </c>
      <c r="D33" s="92"/>
      <c r="E33" s="3" t="s">
        <v>54</v>
      </c>
      <c r="F33" s="25">
        <v>64.95</v>
      </c>
      <c r="G33" s="26">
        <v>0</v>
      </c>
      <c r="H33" s="25">
        <f>F33*AO33</f>
        <v>0</v>
      </c>
      <c r="I33" s="25">
        <f>F33*AP33</f>
        <v>0</v>
      </c>
      <c r="J33" s="25">
        <f>F33*G33</f>
        <v>0</v>
      </c>
      <c r="K33" s="27" t="s">
        <v>55</v>
      </c>
      <c r="L33" s="24"/>
      <c r="Z33" s="25">
        <f>IF(AQ33="5",BJ33,0)</f>
        <v>0</v>
      </c>
      <c r="AB33" s="25">
        <f>IF(AQ33="1",BH33,0)</f>
        <v>0</v>
      </c>
      <c r="AC33" s="25">
        <f>IF(AQ33="1",BI33,0)</f>
        <v>0</v>
      </c>
      <c r="AD33" s="25">
        <f>IF(AQ33="7",BH33,0)</f>
        <v>0</v>
      </c>
      <c r="AE33" s="25">
        <f>IF(AQ33="7",BI33,0)</f>
        <v>0</v>
      </c>
      <c r="AF33" s="25">
        <f>IF(AQ33="2",BH33,0)</f>
        <v>0</v>
      </c>
      <c r="AG33" s="25">
        <f>IF(AQ33="2",BI33,0)</f>
        <v>0</v>
      </c>
      <c r="AH33" s="25">
        <f>IF(AQ33="0",BJ33,0)</f>
        <v>0</v>
      </c>
      <c r="AI33" s="10" t="s">
        <v>48</v>
      </c>
      <c r="AJ33" s="25">
        <f>IF(AN33=0,J33,0)</f>
        <v>0</v>
      </c>
      <c r="AK33" s="25">
        <f>IF(AN33=12,J33,0)</f>
        <v>0</v>
      </c>
      <c r="AL33" s="25">
        <f>IF(AN33=21,J33,0)</f>
        <v>0</v>
      </c>
      <c r="AN33" s="25">
        <v>21</v>
      </c>
      <c r="AO33" s="25">
        <f>G33*0</f>
        <v>0</v>
      </c>
      <c r="AP33" s="25">
        <f>G33*(1-0)</f>
        <v>0</v>
      </c>
      <c r="AQ33" s="27" t="s">
        <v>51</v>
      </c>
      <c r="AV33" s="25">
        <f>AW33+AX33</f>
        <v>0</v>
      </c>
      <c r="AW33" s="25">
        <f>F33*AO33</f>
        <v>0</v>
      </c>
      <c r="AX33" s="25">
        <f>F33*AP33</f>
        <v>0</v>
      </c>
      <c r="AY33" s="27" t="s">
        <v>84</v>
      </c>
      <c r="AZ33" s="27" t="s">
        <v>85</v>
      </c>
      <c r="BA33" s="10" t="s">
        <v>58</v>
      </c>
      <c r="BC33" s="25">
        <f>AW33+AX33</f>
        <v>0</v>
      </c>
      <c r="BD33" s="25">
        <f>G33/(100-BE33)*100</f>
        <v>0</v>
      </c>
      <c r="BE33" s="25">
        <v>0</v>
      </c>
      <c r="BF33" s="25">
        <f>33</f>
        <v>33</v>
      </c>
      <c r="BH33" s="25">
        <f>F33*AO33</f>
        <v>0</v>
      </c>
      <c r="BI33" s="25">
        <f>F33*AP33</f>
        <v>0</v>
      </c>
      <c r="BJ33" s="25">
        <f>F33*G33</f>
        <v>0</v>
      </c>
      <c r="BK33" s="25"/>
      <c r="BL33" s="25">
        <v>27</v>
      </c>
      <c r="BW33" s="25">
        <v>21</v>
      </c>
    </row>
    <row r="34" spans="1:75" ht="27" customHeight="1" x14ac:dyDescent="0.25">
      <c r="A34" s="2" t="s">
        <v>49</v>
      </c>
      <c r="B34" s="3" t="s">
        <v>108</v>
      </c>
      <c r="C34" s="91" t="s">
        <v>109</v>
      </c>
      <c r="D34" s="92"/>
      <c r="E34" s="3" t="s">
        <v>93</v>
      </c>
      <c r="F34" s="25">
        <v>21.21</v>
      </c>
      <c r="G34" s="26">
        <v>0</v>
      </c>
      <c r="H34" s="25">
        <f>F34*AO34</f>
        <v>0</v>
      </c>
      <c r="I34" s="25">
        <f>F34*AP34</f>
        <v>0</v>
      </c>
      <c r="J34" s="25">
        <f>F34*G34</f>
        <v>0</v>
      </c>
      <c r="K34" s="27" t="s">
        <v>55</v>
      </c>
      <c r="L34" s="24"/>
      <c r="Z34" s="25">
        <f>IF(AQ34="5",BJ34,0)</f>
        <v>0</v>
      </c>
      <c r="AB34" s="25">
        <f>IF(AQ34="1",BH34,0)</f>
        <v>0</v>
      </c>
      <c r="AC34" s="25">
        <f>IF(AQ34="1",BI34,0)</f>
        <v>0</v>
      </c>
      <c r="AD34" s="25">
        <f>IF(AQ34="7",BH34,0)</f>
        <v>0</v>
      </c>
      <c r="AE34" s="25">
        <f>IF(AQ34="7",BI34,0)</f>
        <v>0</v>
      </c>
      <c r="AF34" s="25">
        <f>IF(AQ34="2",BH34,0)</f>
        <v>0</v>
      </c>
      <c r="AG34" s="25">
        <f>IF(AQ34="2",BI34,0)</f>
        <v>0</v>
      </c>
      <c r="AH34" s="25">
        <f>IF(AQ34="0",BJ34,0)</f>
        <v>0</v>
      </c>
      <c r="AI34" s="10" t="s">
        <v>48</v>
      </c>
      <c r="AJ34" s="25">
        <f>IF(AN34=0,J34,0)</f>
        <v>0</v>
      </c>
      <c r="AK34" s="25">
        <f>IF(AN34=12,J34,0)</f>
        <v>0</v>
      </c>
      <c r="AL34" s="25">
        <f>IF(AN34=21,J34,0)</f>
        <v>0</v>
      </c>
      <c r="AN34" s="25">
        <v>21</v>
      </c>
      <c r="AO34" s="25">
        <f>G34*0.628541484</f>
        <v>0</v>
      </c>
      <c r="AP34" s="25">
        <f>G34*(1-0.628541484)</f>
        <v>0</v>
      </c>
      <c r="AQ34" s="27" t="s">
        <v>51</v>
      </c>
      <c r="AV34" s="25">
        <f>AW34+AX34</f>
        <v>0</v>
      </c>
      <c r="AW34" s="25">
        <f>F34*AO34</f>
        <v>0</v>
      </c>
      <c r="AX34" s="25">
        <f>F34*AP34</f>
        <v>0</v>
      </c>
      <c r="AY34" s="27" t="s">
        <v>84</v>
      </c>
      <c r="AZ34" s="27" t="s">
        <v>85</v>
      </c>
      <c r="BA34" s="10" t="s">
        <v>58</v>
      </c>
      <c r="BC34" s="25">
        <f>AW34+AX34</f>
        <v>0</v>
      </c>
      <c r="BD34" s="25">
        <f>G34/(100-BE34)*100</f>
        <v>0</v>
      </c>
      <c r="BE34" s="25">
        <v>0</v>
      </c>
      <c r="BF34" s="25">
        <f>34</f>
        <v>34</v>
      </c>
      <c r="BH34" s="25">
        <f>F34*AO34</f>
        <v>0</v>
      </c>
      <c r="BI34" s="25">
        <f>F34*AP34</f>
        <v>0</v>
      </c>
      <c r="BJ34" s="25">
        <f>F34*G34</f>
        <v>0</v>
      </c>
      <c r="BK34" s="25"/>
      <c r="BL34" s="25">
        <v>27</v>
      </c>
      <c r="BW34" s="25">
        <v>21</v>
      </c>
    </row>
    <row r="35" spans="1:75" ht="27" customHeight="1" x14ac:dyDescent="0.25">
      <c r="A35" s="2" t="s">
        <v>110</v>
      </c>
      <c r="B35" s="3" t="s">
        <v>98</v>
      </c>
      <c r="C35" s="91" t="s">
        <v>99</v>
      </c>
      <c r="D35" s="92"/>
      <c r="E35" s="3" t="s">
        <v>70</v>
      </c>
      <c r="F35" s="25">
        <v>123.17</v>
      </c>
      <c r="G35" s="26">
        <v>0</v>
      </c>
      <c r="H35" s="25">
        <f>F35*AO35</f>
        <v>0</v>
      </c>
      <c r="I35" s="25">
        <f>F35*AP35</f>
        <v>0</v>
      </c>
      <c r="J35" s="25">
        <f>F35*G35</f>
        <v>0</v>
      </c>
      <c r="K35" s="27" t="s">
        <v>55</v>
      </c>
      <c r="L35" s="24"/>
      <c r="Z35" s="25">
        <f>IF(AQ35="5",BJ35,0)</f>
        <v>0</v>
      </c>
      <c r="AB35" s="25">
        <f>IF(AQ35="1",BH35,0)</f>
        <v>0</v>
      </c>
      <c r="AC35" s="25">
        <f>IF(AQ35="1",BI35,0)</f>
        <v>0</v>
      </c>
      <c r="AD35" s="25">
        <f>IF(AQ35="7",BH35,0)</f>
        <v>0</v>
      </c>
      <c r="AE35" s="25">
        <f>IF(AQ35="7",BI35,0)</f>
        <v>0</v>
      </c>
      <c r="AF35" s="25">
        <f>IF(AQ35="2",BH35,0)</f>
        <v>0</v>
      </c>
      <c r="AG35" s="25">
        <f>IF(AQ35="2",BI35,0)</f>
        <v>0</v>
      </c>
      <c r="AH35" s="25">
        <f>IF(AQ35="0",BJ35,0)</f>
        <v>0</v>
      </c>
      <c r="AI35" s="10" t="s">
        <v>48</v>
      </c>
      <c r="AJ35" s="25">
        <f>IF(AN35=0,J35,0)</f>
        <v>0</v>
      </c>
      <c r="AK35" s="25">
        <f>IF(AN35=12,J35,0)</f>
        <v>0</v>
      </c>
      <c r="AL35" s="25">
        <f>IF(AN35=21,J35,0)</f>
        <v>0</v>
      </c>
      <c r="AN35" s="25">
        <v>21</v>
      </c>
      <c r="AO35" s="25">
        <f>G35*0.930234004</f>
        <v>0</v>
      </c>
      <c r="AP35" s="25">
        <f>G35*(1-0.930234004)</f>
        <v>0</v>
      </c>
      <c r="AQ35" s="27" t="s">
        <v>51</v>
      </c>
      <c r="AV35" s="25">
        <f>AW35+AX35</f>
        <v>0</v>
      </c>
      <c r="AW35" s="25">
        <f>F35*AO35</f>
        <v>0</v>
      </c>
      <c r="AX35" s="25">
        <f>F35*AP35</f>
        <v>0</v>
      </c>
      <c r="AY35" s="27" t="s">
        <v>84</v>
      </c>
      <c r="AZ35" s="27" t="s">
        <v>85</v>
      </c>
      <c r="BA35" s="10" t="s">
        <v>58</v>
      </c>
      <c r="BC35" s="25">
        <f>AW35+AX35</f>
        <v>0</v>
      </c>
      <c r="BD35" s="25">
        <f>G35/(100-BE35)*100</f>
        <v>0</v>
      </c>
      <c r="BE35" s="25">
        <v>0</v>
      </c>
      <c r="BF35" s="25">
        <f>35</f>
        <v>35</v>
      </c>
      <c r="BH35" s="25">
        <f>F35*AO35</f>
        <v>0</v>
      </c>
      <c r="BI35" s="25">
        <f>F35*AP35</f>
        <v>0</v>
      </c>
      <c r="BJ35" s="25">
        <f>F35*G35</f>
        <v>0</v>
      </c>
      <c r="BK35" s="25"/>
      <c r="BL35" s="25">
        <v>27</v>
      </c>
      <c r="BW35" s="25">
        <v>21</v>
      </c>
    </row>
    <row r="36" spans="1:75" ht="13.5" customHeight="1" x14ac:dyDescent="0.25">
      <c r="A36" s="28"/>
      <c r="B36" s="29" t="s">
        <v>94</v>
      </c>
      <c r="C36" s="97" t="s">
        <v>100</v>
      </c>
      <c r="D36" s="98"/>
      <c r="E36" s="98"/>
      <c r="F36" s="98"/>
      <c r="G36" s="99"/>
      <c r="H36" s="98"/>
      <c r="I36" s="98"/>
      <c r="J36" s="98"/>
      <c r="K36" s="98"/>
      <c r="L36" s="100"/>
    </row>
    <row r="37" spans="1:75" ht="13.5" customHeight="1" x14ac:dyDescent="0.25">
      <c r="A37" s="28"/>
      <c r="B37" s="29" t="s">
        <v>59</v>
      </c>
      <c r="C37" s="97" t="s">
        <v>101</v>
      </c>
      <c r="D37" s="98"/>
      <c r="E37" s="98"/>
      <c r="F37" s="98"/>
      <c r="G37" s="99"/>
      <c r="H37" s="98"/>
      <c r="I37" s="98"/>
      <c r="J37" s="98"/>
      <c r="K37" s="98"/>
      <c r="L37" s="100"/>
    </row>
    <row r="38" spans="1:75" x14ac:dyDescent="0.25">
      <c r="A38" s="30" t="s">
        <v>48</v>
      </c>
      <c r="B38" s="31" t="s">
        <v>111</v>
      </c>
      <c r="C38" s="93" t="s">
        <v>112</v>
      </c>
      <c r="D38" s="94"/>
      <c r="E38" s="32" t="s">
        <v>4</v>
      </c>
      <c r="F38" s="32" t="s">
        <v>4</v>
      </c>
      <c r="G38" s="89" t="s">
        <v>4</v>
      </c>
      <c r="H38" s="1">
        <f>SUM(H39:H39)</f>
        <v>0</v>
      </c>
      <c r="I38" s="1">
        <f>SUM(I39:I39)</f>
        <v>0</v>
      </c>
      <c r="J38" s="1">
        <f>SUM(J39:J39)</f>
        <v>0</v>
      </c>
      <c r="K38" s="10" t="s">
        <v>48</v>
      </c>
      <c r="L38" s="24"/>
      <c r="AI38" s="10" t="s">
        <v>48</v>
      </c>
      <c r="AS38" s="1">
        <f>SUM(AJ39:AJ39)</f>
        <v>0</v>
      </c>
      <c r="AT38" s="1">
        <f>SUM(AK39:AK39)</f>
        <v>0</v>
      </c>
      <c r="AU38" s="1">
        <f>SUM(AL39:AL39)</f>
        <v>0</v>
      </c>
    </row>
    <row r="39" spans="1:75" ht="13.5" customHeight="1" x14ac:dyDescent="0.25">
      <c r="A39" s="2" t="s">
        <v>65</v>
      </c>
      <c r="B39" s="3" t="s">
        <v>113</v>
      </c>
      <c r="C39" s="91" t="s">
        <v>114</v>
      </c>
      <c r="D39" s="92"/>
      <c r="E39" s="3" t="s">
        <v>54</v>
      </c>
      <c r="F39" s="25">
        <v>1060.57</v>
      </c>
      <c r="G39" s="26">
        <v>0</v>
      </c>
      <c r="H39" s="25">
        <f>F39*AO39</f>
        <v>0</v>
      </c>
      <c r="I39" s="25">
        <f>F39*AP39</f>
        <v>0</v>
      </c>
      <c r="J39" s="25">
        <f>F39*G39</f>
        <v>0</v>
      </c>
      <c r="K39" s="27" t="s">
        <v>55</v>
      </c>
      <c r="L39" s="24"/>
      <c r="Z39" s="25">
        <f>IF(AQ39="5",BJ39,0)</f>
        <v>0</v>
      </c>
      <c r="AB39" s="25">
        <f>IF(AQ39="1",BH39,0)</f>
        <v>0</v>
      </c>
      <c r="AC39" s="25">
        <f>IF(AQ39="1",BI39,0)</f>
        <v>0</v>
      </c>
      <c r="AD39" s="25">
        <f>IF(AQ39="7",BH39,0)</f>
        <v>0</v>
      </c>
      <c r="AE39" s="25">
        <f>IF(AQ39="7",BI39,0)</f>
        <v>0</v>
      </c>
      <c r="AF39" s="25">
        <f>IF(AQ39="2",BH39,0)</f>
        <v>0</v>
      </c>
      <c r="AG39" s="25">
        <f>IF(AQ39="2",BI39,0)</f>
        <v>0</v>
      </c>
      <c r="AH39" s="25">
        <f>IF(AQ39="0",BJ39,0)</f>
        <v>0</v>
      </c>
      <c r="AI39" s="10" t="s">
        <v>48</v>
      </c>
      <c r="AJ39" s="25">
        <f>IF(AN39=0,J39,0)</f>
        <v>0</v>
      </c>
      <c r="AK39" s="25">
        <f>IF(AN39=12,J39,0)</f>
        <v>0</v>
      </c>
      <c r="AL39" s="25">
        <f>IF(AN39=21,J39,0)</f>
        <v>0</v>
      </c>
      <c r="AN39" s="25">
        <v>21</v>
      </c>
      <c r="AO39" s="25">
        <f>G39*0.288455882</f>
        <v>0</v>
      </c>
      <c r="AP39" s="25">
        <f>G39*(1-0.288455882)</f>
        <v>0</v>
      </c>
      <c r="AQ39" s="27" t="s">
        <v>51</v>
      </c>
      <c r="AV39" s="25">
        <f>AW39+AX39</f>
        <v>0</v>
      </c>
      <c r="AW39" s="25">
        <f>F39*AO39</f>
        <v>0</v>
      </c>
      <c r="AX39" s="25">
        <f>F39*AP39</f>
        <v>0</v>
      </c>
      <c r="AY39" s="27" t="s">
        <v>115</v>
      </c>
      <c r="AZ39" s="27" t="s">
        <v>85</v>
      </c>
      <c r="BA39" s="10" t="s">
        <v>58</v>
      </c>
      <c r="BC39" s="25">
        <f>AW39+AX39</f>
        <v>0</v>
      </c>
      <c r="BD39" s="25">
        <f>G39/(100-BE39)*100</f>
        <v>0</v>
      </c>
      <c r="BE39" s="25">
        <v>0</v>
      </c>
      <c r="BF39" s="25">
        <f>39</f>
        <v>39</v>
      </c>
      <c r="BH39" s="25">
        <f>F39*AO39</f>
        <v>0</v>
      </c>
      <c r="BI39" s="25">
        <f>F39*AP39</f>
        <v>0</v>
      </c>
      <c r="BJ39" s="25">
        <f>F39*G39</f>
        <v>0</v>
      </c>
      <c r="BK39" s="25"/>
      <c r="BL39" s="25">
        <v>28</v>
      </c>
      <c r="BW39" s="25">
        <v>21</v>
      </c>
    </row>
    <row r="40" spans="1:75" x14ac:dyDescent="0.25">
      <c r="A40" s="30" t="s">
        <v>48</v>
      </c>
      <c r="B40" s="31" t="s">
        <v>116</v>
      </c>
      <c r="C40" s="93" t="s">
        <v>117</v>
      </c>
      <c r="D40" s="94"/>
      <c r="E40" s="32" t="s">
        <v>4</v>
      </c>
      <c r="F40" s="32" t="s">
        <v>4</v>
      </c>
      <c r="G40" s="89" t="s">
        <v>4</v>
      </c>
      <c r="H40" s="1">
        <f>SUM(H41:H47)</f>
        <v>0</v>
      </c>
      <c r="I40" s="1">
        <f>SUM(I41:I47)</f>
        <v>0</v>
      </c>
      <c r="J40" s="1">
        <f>SUM(J41:J47)</f>
        <v>0</v>
      </c>
      <c r="K40" s="10" t="s">
        <v>48</v>
      </c>
      <c r="L40" s="24"/>
      <c r="AI40" s="10" t="s">
        <v>48</v>
      </c>
      <c r="AS40" s="1">
        <f>SUM(AJ41:AJ47)</f>
        <v>0</v>
      </c>
      <c r="AT40" s="1">
        <f>SUM(AK41:AK47)</f>
        <v>0</v>
      </c>
      <c r="AU40" s="1">
        <f>SUM(AL41:AL47)</f>
        <v>0</v>
      </c>
    </row>
    <row r="41" spans="1:75" ht="27" customHeight="1" x14ac:dyDescent="0.25">
      <c r="A41" s="2" t="s">
        <v>118</v>
      </c>
      <c r="B41" s="3" t="s">
        <v>119</v>
      </c>
      <c r="C41" s="91" t="s">
        <v>120</v>
      </c>
      <c r="D41" s="92"/>
      <c r="E41" s="3" t="s">
        <v>54</v>
      </c>
      <c r="F41" s="25">
        <v>3172.62</v>
      </c>
      <c r="G41" s="26">
        <v>0</v>
      </c>
      <c r="H41" s="25">
        <f>F41*AO41</f>
        <v>0</v>
      </c>
      <c r="I41" s="25">
        <f>F41*AP41</f>
        <v>0</v>
      </c>
      <c r="J41" s="25">
        <f>F41*G41</f>
        <v>0</v>
      </c>
      <c r="K41" s="27" t="s">
        <v>55</v>
      </c>
      <c r="L41" s="24"/>
      <c r="Z41" s="25">
        <f>IF(AQ41="5",BJ41,0)</f>
        <v>0</v>
      </c>
      <c r="AB41" s="25">
        <f>IF(AQ41="1",BH41,0)</f>
        <v>0</v>
      </c>
      <c r="AC41" s="25">
        <f>IF(AQ41="1",BI41,0)</f>
        <v>0</v>
      </c>
      <c r="AD41" s="25">
        <f>IF(AQ41="7",BH41,0)</f>
        <v>0</v>
      </c>
      <c r="AE41" s="25">
        <f>IF(AQ41="7",BI41,0)</f>
        <v>0</v>
      </c>
      <c r="AF41" s="25">
        <f>IF(AQ41="2",BH41,0)</f>
        <v>0</v>
      </c>
      <c r="AG41" s="25">
        <f>IF(AQ41="2",BI41,0)</f>
        <v>0</v>
      </c>
      <c r="AH41" s="25">
        <f>IF(AQ41="0",BJ41,0)</f>
        <v>0</v>
      </c>
      <c r="AI41" s="10" t="s">
        <v>48</v>
      </c>
      <c r="AJ41" s="25">
        <f>IF(AN41=0,J41,0)</f>
        <v>0</v>
      </c>
      <c r="AK41" s="25">
        <f>IF(AN41=12,J41,0)</f>
        <v>0</v>
      </c>
      <c r="AL41" s="25">
        <f>IF(AN41=21,J41,0)</f>
        <v>0</v>
      </c>
      <c r="AN41" s="25">
        <v>21</v>
      </c>
      <c r="AO41" s="25">
        <f>G41*0.449855372</f>
        <v>0</v>
      </c>
      <c r="AP41" s="25">
        <f>G41*(1-0.449855372)</f>
        <v>0</v>
      </c>
      <c r="AQ41" s="27" t="s">
        <v>51</v>
      </c>
      <c r="AV41" s="25">
        <f>AW41+AX41</f>
        <v>0</v>
      </c>
      <c r="AW41" s="25">
        <f>F41*AO41</f>
        <v>0</v>
      </c>
      <c r="AX41" s="25">
        <f>F41*AP41</f>
        <v>0</v>
      </c>
      <c r="AY41" s="27" t="s">
        <v>121</v>
      </c>
      <c r="AZ41" s="27" t="s">
        <v>122</v>
      </c>
      <c r="BA41" s="10" t="s">
        <v>58</v>
      </c>
      <c r="BC41" s="25">
        <f>AW41+AX41</f>
        <v>0</v>
      </c>
      <c r="BD41" s="25">
        <f>G41/(100-BE41)*100</f>
        <v>0</v>
      </c>
      <c r="BE41" s="25">
        <v>0</v>
      </c>
      <c r="BF41" s="25">
        <f>41</f>
        <v>41</v>
      </c>
      <c r="BH41" s="25">
        <f>F41*AO41</f>
        <v>0</v>
      </c>
      <c r="BI41" s="25">
        <f>F41*AP41</f>
        <v>0</v>
      </c>
      <c r="BJ41" s="25">
        <f>F41*G41</f>
        <v>0</v>
      </c>
      <c r="BK41" s="25"/>
      <c r="BL41" s="25">
        <v>31</v>
      </c>
      <c r="BW41" s="25">
        <v>21</v>
      </c>
    </row>
    <row r="42" spans="1:75" ht="13.5" customHeight="1" x14ac:dyDescent="0.25">
      <c r="A42" s="28"/>
      <c r="B42" s="29" t="s">
        <v>59</v>
      </c>
      <c r="C42" s="97" t="s">
        <v>123</v>
      </c>
      <c r="D42" s="98"/>
      <c r="E42" s="98"/>
      <c r="F42" s="98"/>
      <c r="G42" s="99"/>
      <c r="H42" s="98"/>
      <c r="I42" s="98"/>
      <c r="J42" s="98"/>
      <c r="K42" s="98"/>
      <c r="L42" s="100"/>
    </row>
    <row r="43" spans="1:75" ht="27" customHeight="1" x14ac:dyDescent="0.25">
      <c r="A43" s="2" t="s">
        <v>124</v>
      </c>
      <c r="B43" s="3" t="s">
        <v>125</v>
      </c>
      <c r="C43" s="91" t="s">
        <v>126</v>
      </c>
      <c r="D43" s="92"/>
      <c r="E43" s="3" t="s">
        <v>54</v>
      </c>
      <c r="F43" s="25">
        <v>3172.62</v>
      </c>
      <c r="G43" s="26">
        <v>0</v>
      </c>
      <c r="H43" s="25">
        <f>F43*AO43</f>
        <v>0</v>
      </c>
      <c r="I43" s="25">
        <f>F43*AP43</f>
        <v>0</v>
      </c>
      <c r="J43" s="25">
        <f>F43*G43</f>
        <v>0</v>
      </c>
      <c r="K43" s="27" t="s">
        <v>55</v>
      </c>
      <c r="L43" s="24"/>
      <c r="Z43" s="25">
        <f>IF(AQ43="5",BJ43,0)</f>
        <v>0</v>
      </c>
      <c r="AB43" s="25">
        <f>IF(AQ43="1",BH43,0)</f>
        <v>0</v>
      </c>
      <c r="AC43" s="25">
        <f>IF(AQ43="1",BI43,0)</f>
        <v>0</v>
      </c>
      <c r="AD43" s="25">
        <f>IF(AQ43="7",BH43,0)</f>
        <v>0</v>
      </c>
      <c r="AE43" s="25">
        <f>IF(AQ43="7",BI43,0)</f>
        <v>0</v>
      </c>
      <c r="AF43" s="25">
        <f>IF(AQ43="2",BH43,0)</f>
        <v>0</v>
      </c>
      <c r="AG43" s="25">
        <f>IF(AQ43="2",BI43,0)</f>
        <v>0</v>
      </c>
      <c r="AH43" s="25">
        <f>IF(AQ43="0",BJ43,0)</f>
        <v>0</v>
      </c>
      <c r="AI43" s="10" t="s">
        <v>48</v>
      </c>
      <c r="AJ43" s="25">
        <f>IF(AN43=0,J43,0)</f>
        <v>0</v>
      </c>
      <c r="AK43" s="25">
        <f>IF(AN43=12,J43,0)</f>
        <v>0</v>
      </c>
      <c r="AL43" s="25">
        <f>IF(AN43=21,J43,0)</f>
        <v>0</v>
      </c>
      <c r="AN43" s="25">
        <v>21</v>
      </c>
      <c r="AO43" s="25">
        <f>G43*0</f>
        <v>0</v>
      </c>
      <c r="AP43" s="25">
        <f>G43*(1-0)</f>
        <v>0</v>
      </c>
      <c r="AQ43" s="27" t="s">
        <v>51</v>
      </c>
      <c r="AV43" s="25">
        <f>AW43+AX43</f>
        <v>0</v>
      </c>
      <c r="AW43" s="25">
        <f>F43*AO43</f>
        <v>0</v>
      </c>
      <c r="AX43" s="25">
        <f>F43*AP43</f>
        <v>0</v>
      </c>
      <c r="AY43" s="27" t="s">
        <v>121</v>
      </c>
      <c r="AZ43" s="27" t="s">
        <v>122</v>
      </c>
      <c r="BA43" s="10" t="s">
        <v>58</v>
      </c>
      <c r="BC43" s="25">
        <f>AW43+AX43</f>
        <v>0</v>
      </c>
      <c r="BD43" s="25">
        <f>G43/(100-BE43)*100</f>
        <v>0</v>
      </c>
      <c r="BE43" s="25">
        <v>0</v>
      </c>
      <c r="BF43" s="25">
        <f>43</f>
        <v>43</v>
      </c>
      <c r="BH43" s="25">
        <f>F43*AO43</f>
        <v>0</v>
      </c>
      <c r="BI43" s="25">
        <f>F43*AP43</f>
        <v>0</v>
      </c>
      <c r="BJ43" s="25">
        <f>F43*G43</f>
        <v>0</v>
      </c>
      <c r="BK43" s="25"/>
      <c r="BL43" s="25">
        <v>31</v>
      </c>
      <c r="BW43" s="25">
        <v>21</v>
      </c>
    </row>
    <row r="44" spans="1:75" ht="40.5" customHeight="1" x14ac:dyDescent="0.25">
      <c r="A44" s="28"/>
      <c r="B44" s="29" t="s">
        <v>59</v>
      </c>
      <c r="C44" s="97" t="s">
        <v>127</v>
      </c>
      <c r="D44" s="98"/>
      <c r="E44" s="98"/>
      <c r="F44" s="98"/>
      <c r="G44" s="99"/>
      <c r="H44" s="98"/>
      <c r="I44" s="98"/>
      <c r="J44" s="98"/>
      <c r="K44" s="98"/>
      <c r="L44" s="100"/>
    </row>
    <row r="45" spans="1:75" ht="27" customHeight="1" x14ac:dyDescent="0.25">
      <c r="A45" s="2" t="s">
        <v>73</v>
      </c>
      <c r="B45" s="3" t="s">
        <v>128</v>
      </c>
      <c r="C45" s="91" t="s">
        <v>129</v>
      </c>
      <c r="D45" s="92"/>
      <c r="E45" s="3" t="s">
        <v>70</v>
      </c>
      <c r="F45" s="25">
        <v>687.25</v>
      </c>
      <c r="G45" s="26">
        <v>0</v>
      </c>
      <c r="H45" s="25">
        <f>F45*AO45</f>
        <v>0</v>
      </c>
      <c r="I45" s="25">
        <f>F45*AP45</f>
        <v>0</v>
      </c>
      <c r="J45" s="25">
        <f>F45*G45</f>
        <v>0</v>
      </c>
      <c r="K45" s="27" t="s">
        <v>55</v>
      </c>
      <c r="L45" s="24"/>
      <c r="Z45" s="25">
        <f>IF(AQ45="5",BJ45,0)</f>
        <v>0</v>
      </c>
      <c r="AB45" s="25">
        <f>IF(AQ45="1",BH45,0)</f>
        <v>0</v>
      </c>
      <c r="AC45" s="25">
        <f>IF(AQ45="1",BI45,0)</f>
        <v>0</v>
      </c>
      <c r="AD45" s="25">
        <f>IF(AQ45="7",BH45,0)</f>
        <v>0</v>
      </c>
      <c r="AE45" s="25">
        <f>IF(AQ45="7",BI45,0)</f>
        <v>0</v>
      </c>
      <c r="AF45" s="25">
        <f>IF(AQ45="2",BH45,0)</f>
        <v>0</v>
      </c>
      <c r="AG45" s="25">
        <f>IF(AQ45="2",BI45,0)</f>
        <v>0</v>
      </c>
      <c r="AH45" s="25">
        <f>IF(AQ45="0",BJ45,0)</f>
        <v>0</v>
      </c>
      <c r="AI45" s="10" t="s">
        <v>48</v>
      </c>
      <c r="AJ45" s="25">
        <f>IF(AN45=0,J45,0)</f>
        <v>0</v>
      </c>
      <c r="AK45" s="25">
        <f>IF(AN45=12,J45,0)</f>
        <v>0</v>
      </c>
      <c r="AL45" s="25">
        <f>IF(AN45=21,J45,0)</f>
        <v>0</v>
      </c>
      <c r="AN45" s="25">
        <v>21</v>
      </c>
      <c r="AO45" s="25">
        <f>G45*0.015</f>
        <v>0</v>
      </c>
      <c r="AP45" s="25">
        <f>G45*(1-0.015)</f>
        <v>0</v>
      </c>
      <c r="AQ45" s="27" t="s">
        <v>51</v>
      </c>
      <c r="AV45" s="25">
        <f>AW45+AX45</f>
        <v>0</v>
      </c>
      <c r="AW45" s="25">
        <f>F45*AO45</f>
        <v>0</v>
      </c>
      <c r="AX45" s="25">
        <f>F45*AP45</f>
        <v>0</v>
      </c>
      <c r="AY45" s="27" t="s">
        <v>121</v>
      </c>
      <c r="AZ45" s="27" t="s">
        <v>122</v>
      </c>
      <c r="BA45" s="10" t="s">
        <v>58</v>
      </c>
      <c r="BC45" s="25">
        <f>AW45+AX45</f>
        <v>0</v>
      </c>
      <c r="BD45" s="25">
        <f>G45/(100-BE45)*100</f>
        <v>0</v>
      </c>
      <c r="BE45" s="25">
        <v>0</v>
      </c>
      <c r="BF45" s="25">
        <f>45</f>
        <v>45</v>
      </c>
      <c r="BH45" s="25">
        <f>F45*AO45</f>
        <v>0</v>
      </c>
      <c r="BI45" s="25">
        <f>F45*AP45</f>
        <v>0</v>
      </c>
      <c r="BJ45" s="25">
        <f>F45*G45</f>
        <v>0</v>
      </c>
      <c r="BK45" s="25"/>
      <c r="BL45" s="25">
        <v>31</v>
      </c>
      <c r="BW45" s="25">
        <v>21</v>
      </c>
    </row>
    <row r="46" spans="1:75" ht="27" customHeight="1" x14ac:dyDescent="0.25">
      <c r="A46" s="28"/>
      <c r="B46" s="29" t="s">
        <v>59</v>
      </c>
      <c r="C46" s="97" t="s">
        <v>130</v>
      </c>
      <c r="D46" s="98"/>
      <c r="E46" s="98"/>
      <c r="F46" s="98"/>
      <c r="G46" s="99"/>
      <c r="H46" s="98"/>
      <c r="I46" s="98"/>
      <c r="J46" s="98"/>
      <c r="K46" s="98"/>
      <c r="L46" s="100"/>
    </row>
    <row r="47" spans="1:75" ht="27" customHeight="1" x14ac:dyDescent="0.25">
      <c r="A47" s="2" t="s">
        <v>131</v>
      </c>
      <c r="B47" s="3" t="s">
        <v>132</v>
      </c>
      <c r="C47" s="91" t="s">
        <v>133</v>
      </c>
      <c r="D47" s="92"/>
      <c r="E47" s="3" t="s">
        <v>93</v>
      </c>
      <c r="F47" s="25">
        <v>58.4</v>
      </c>
      <c r="G47" s="26">
        <v>0</v>
      </c>
      <c r="H47" s="25">
        <f>F47*AO47</f>
        <v>0</v>
      </c>
      <c r="I47" s="25">
        <f>F47*AP47</f>
        <v>0</v>
      </c>
      <c r="J47" s="25">
        <f>F47*G47</f>
        <v>0</v>
      </c>
      <c r="K47" s="27" t="s">
        <v>55</v>
      </c>
      <c r="L47" s="24"/>
      <c r="Z47" s="25">
        <f>IF(AQ47="5",BJ47,0)</f>
        <v>0</v>
      </c>
      <c r="AB47" s="25">
        <f>IF(AQ47="1",BH47,0)</f>
        <v>0</v>
      </c>
      <c r="AC47" s="25">
        <f>IF(AQ47="1",BI47,0)</f>
        <v>0</v>
      </c>
      <c r="AD47" s="25">
        <f>IF(AQ47="7",BH47,0)</f>
        <v>0</v>
      </c>
      <c r="AE47" s="25">
        <f>IF(AQ47="7",BI47,0)</f>
        <v>0</v>
      </c>
      <c r="AF47" s="25">
        <f>IF(AQ47="2",BH47,0)</f>
        <v>0</v>
      </c>
      <c r="AG47" s="25">
        <f>IF(AQ47="2",BI47,0)</f>
        <v>0</v>
      </c>
      <c r="AH47" s="25">
        <f>IF(AQ47="0",BJ47,0)</f>
        <v>0</v>
      </c>
      <c r="AI47" s="10" t="s">
        <v>48</v>
      </c>
      <c r="AJ47" s="25">
        <f>IF(AN47=0,J47,0)</f>
        <v>0</v>
      </c>
      <c r="AK47" s="25">
        <f>IF(AN47=12,J47,0)</f>
        <v>0</v>
      </c>
      <c r="AL47" s="25">
        <f>IF(AN47=21,J47,0)</f>
        <v>0</v>
      </c>
      <c r="AN47" s="25">
        <v>21</v>
      </c>
      <c r="AO47" s="25">
        <f>G47*0.742466209</f>
        <v>0</v>
      </c>
      <c r="AP47" s="25">
        <f>G47*(1-0.742466209)</f>
        <v>0</v>
      </c>
      <c r="AQ47" s="27" t="s">
        <v>51</v>
      </c>
      <c r="AV47" s="25">
        <f>AW47+AX47</f>
        <v>0</v>
      </c>
      <c r="AW47" s="25">
        <f>F47*AO47</f>
        <v>0</v>
      </c>
      <c r="AX47" s="25">
        <f>F47*AP47</f>
        <v>0</v>
      </c>
      <c r="AY47" s="27" t="s">
        <v>121</v>
      </c>
      <c r="AZ47" s="27" t="s">
        <v>122</v>
      </c>
      <c r="BA47" s="10" t="s">
        <v>58</v>
      </c>
      <c r="BC47" s="25">
        <f>AW47+AX47</f>
        <v>0</v>
      </c>
      <c r="BD47" s="25">
        <f>G47/(100-BE47)*100</f>
        <v>0</v>
      </c>
      <c r="BE47" s="25">
        <v>0</v>
      </c>
      <c r="BF47" s="25">
        <f>47</f>
        <v>47</v>
      </c>
      <c r="BH47" s="25">
        <f>F47*AO47</f>
        <v>0</v>
      </c>
      <c r="BI47" s="25">
        <f>F47*AP47</f>
        <v>0</v>
      </c>
      <c r="BJ47" s="25">
        <f>F47*G47</f>
        <v>0</v>
      </c>
      <c r="BK47" s="25"/>
      <c r="BL47" s="25">
        <v>31</v>
      </c>
      <c r="BW47" s="25">
        <v>21</v>
      </c>
    </row>
    <row r="48" spans="1:75" ht="27" customHeight="1" x14ac:dyDescent="0.25">
      <c r="A48" s="28"/>
      <c r="B48" s="29" t="s">
        <v>59</v>
      </c>
      <c r="C48" s="97" t="s">
        <v>134</v>
      </c>
      <c r="D48" s="98"/>
      <c r="E48" s="98"/>
      <c r="F48" s="98"/>
      <c r="G48" s="99"/>
      <c r="H48" s="98"/>
      <c r="I48" s="98"/>
      <c r="J48" s="98"/>
      <c r="K48" s="98"/>
      <c r="L48" s="100"/>
    </row>
    <row r="49" spans="1:75" x14ac:dyDescent="0.25">
      <c r="A49" s="30" t="s">
        <v>48</v>
      </c>
      <c r="B49" s="31" t="s">
        <v>135</v>
      </c>
      <c r="C49" s="93" t="s">
        <v>136</v>
      </c>
      <c r="D49" s="94"/>
      <c r="E49" s="32" t="s">
        <v>4</v>
      </c>
      <c r="F49" s="32" t="s">
        <v>4</v>
      </c>
      <c r="G49" s="89" t="s">
        <v>4</v>
      </c>
      <c r="H49" s="1">
        <f>SUM(H50:H62)</f>
        <v>0</v>
      </c>
      <c r="I49" s="1">
        <f>SUM(I50:I62)</f>
        <v>0</v>
      </c>
      <c r="J49" s="1">
        <f>SUM(J50:J62)</f>
        <v>0</v>
      </c>
      <c r="K49" s="10" t="s">
        <v>48</v>
      </c>
      <c r="L49" s="24"/>
      <c r="AI49" s="10" t="s">
        <v>48</v>
      </c>
      <c r="AS49" s="1">
        <f>SUM(AJ50:AJ62)</f>
        <v>0</v>
      </c>
      <c r="AT49" s="1">
        <f>SUM(AK50:AK62)</f>
        <v>0</v>
      </c>
      <c r="AU49" s="1">
        <f>SUM(AL50:AL62)</f>
        <v>0</v>
      </c>
    </row>
    <row r="50" spans="1:75" ht="40.5" customHeight="1" x14ac:dyDescent="0.25">
      <c r="A50" s="2" t="s">
        <v>137</v>
      </c>
      <c r="B50" s="3" t="s">
        <v>138</v>
      </c>
      <c r="C50" s="91" t="s">
        <v>139</v>
      </c>
      <c r="D50" s="92"/>
      <c r="E50" s="3" t="s">
        <v>54</v>
      </c>
      <c r="F50" s="25">
        <v>1010.07</v>
      </c>
      <c r="G50" s="26">
        <v>0</v>
      </c>
      <c r="H50" s="25">
        <f>F50*AO50</f>
        <v>0</v>
      </c>
      <c r="I50" s="25">
        <f>F50*AP50</f>
        <v>0</v>
      </c>
      <c r="J50" s="25">
        <f>F50*G50</f>
        <v>0</v>
      </c>
      <c r="K50" s="27" t="s">
        <v>55</v>
      </c>
      <c r="L50" s="24"/>
      <c r="Z50" s="25">
        <f>IF(AQ50="5",BJ50,0)</f>
        <v>0</v>
      </c>
      <c r="AB50" s="25">
        <f>IF(AQ50="1",BH50,0)</f>
        <v>0</v>
      </c>
      <c r="AC50" s="25">
        <f>IF(AQ50="1",BI50,0)</f>
        <v>0</v>
      </c>
      <c r="AD50" s="25">
        <f>IF(AQ50="7",BH50,0)</f>
        <v>0</v>
      </c>
      <c r="AE50" s="25">
        <f>IF(AQ50="7",BI50,0)</f>
        <v>0</v>
      </c>
      <c r="AF50" s="25">
        <f>IF(AQ50="2",BH50,0)</f>
        <v>0</v>
      </c>
      <c r="AG50" s="25">
        <f>IF(AQ50="2",BI50,0)</f>
        <v>0</v>
      </c>
      <c r="AH50" s="25">
        <f>IF(AQ50="0",BJ50,0)</f>
        <v>0</v>
      </c>
      <c r="AI50" s="10" t="s">
        <v>48</v>
      </c>
      <c r="AJ50" s="25">
        <f>IF(AN50=0,J50,0)</f>
        <v>0</v>
      </c>
      <c r="AK50" s="25">
        <f>IF(AN50=12,J50,0)</f>
        <v>0</v>
      </c>
      <c r="AL50" s="25">
        <f>IF(AN50=21,J50,0)</f>
        <v>0</v>
      </c>
      <c r="AN50" s="25">
        <v>21</v>
      </c>
      <c r="AO50" s="25">
        <f>G50*0.628981739</f>
        <v>0</v>
      </c>
      <c r="AP50" s="25">
        <f>G50*(1-0.628981739)</f>
        <v>0</v>
      </c>
      <c r="AQ50" s="27" t="s">
        <v>90</v>
      </c>
      <c r="AV50" s="25">
        <f>AW50+AX50</f>
        <v>0</v>
      </c>
      <c r="AW50" s="25">
        <f>F50*AO50</f>
        <v>0</v>
      </c>
      <c r="AX50" s="25">
        <f>F50*AP50</f>
        <v>0</v>
      </c>
      <c r="AY50" s="27" t="s">
        <v>140</v>
      </c>
      <c r="AZ50" s="27" t="s">
        <v>141</v>
      </c>
      <c r="BA50" s="10" t="s">
        <v>58</v>
      </c>
      <c r="BC50" s="25">
        <f>AW50+AX50</f>
        <v>0</v>
      </c>
      <c r="BD50" s="25">
        <f>G50/(100-BE50)*100</f>
        <v>0</v>
      </c>
      <c r="BE50" s="25">
        <v>0</v>
      </c>
      <c r="BF50" s="25">
        <f>50</f>
        <v>50</v>
      </c>
      <c r="BH50" s="25">
        <f>F50*AO50</f>
        <v>0</v>
      </c>
      <c r="BI50" s="25">
        <f>F50*AP50</f>
        <v>0</v>
      </c>
      <c r="BJ50" s="25">
        <f>F50*G50</f>
        <v>0</v>
      </c>
      <c r="BK50" s="25"/>
      <c r="BL50" s="25">
        <v>711</v>
      </c>
      <c r="BW50" s="25">
        <v>21</v>
      </c>
    </row>
    <row r="51" spans="1:75" ht="13.5" customHeight="1" x14ac:dyDescent="0.25">
      <c r="A51" s="28"/>
      <c r="B51" s="29" t="s">
        <v>94</v>
      </c>
      <c r="C51" s="97" t="s">
        <v>142</v>
      </c>
      <c r="D51" s="98"/>
      <c r="E51" s="98"/>
      <c r="F51" s="98"/>
      <c r="G51" s="99"/>
      <c r="H51" s="98"/>
      <c r="I51" s="98"/>
      <c r="J51" s="98"/>
      <c r="K51" s="98"/>
      <c r="L51" s="100"/>
    </row>
    <row r="52" spans="1:75" ht="27" customHeight="1" x14ac:dyDescent="0.25">
      <c r="A52" s="28"/>
      <c r="B52" s="29" t="s">
        <v>59</v>
      </c>
      <c r="C52" s="97" t="s">
        <v>143</v>
      </c>
      <c r="D52" s="98"/>
      <c r="E52" s="98"/>
      <c r="F52" s="98"/>
      <c r="G52" s="99"/>
      <c r="H52" s="98"/>
      <c r="I52" s="98"/>
      <c r="J52" s="98"/>
      <c r="K52" s="98"/>
      <c r="L52" s="100"/>
    </row>
    <row r="53" spans="1:75" ht="27" customHeight="1" x14ac:dyDescent="0.25">
      <c r="A53" s="2" t="s">
        <v>144</v>
      </c>
      <c r="B53" s="3" t="s">
        <v>145</v>
      </c>
      <c r="C53" s="91" t="s">
        <v>146</v>
      </c>
      <c r="D53" s="92"/>
      <c r="E53" s="3" t="s">
        <v>54</v>
      </c>
      <c r="F53" s="25">
        <v>1111.08</v>
      </c>
      <c r="G53" s="26">
        <v>0</v>
      </c>
      <c r="H53" s="25">
        <f>F53*AO53</f>
        <v>0</v>
      </c>
      <c r="I53" s="25">
        <f>F53*AP53</f>
        <v>0</v>
      </c>
      <c r="J53" s="25">
        <f>F53*G53</f>
        <v>0</v>
      </c>
      <c r="K53" s="27" t="s">
        <v>55</v>
      </c>
      <c r="L53" s="24"/>
      <c r="Z53" s="25">
        <f>IF(AQ53="5",BJ53,0)</f>
        <v>0</v>
      </c>
      <c r="AB53" s="25">
        <f>IF(AQ53="1",BH53,0)</f>
        <v>0</v>
      </c>
      <c r="AC53" s="25">
        <f>IF(AQ53="1",BI53,0)</f>
        <v>0</v>
      </c>
      <c r="AD53" s="25">
        <f>IF(AQ53="7",BH53,0)</f>
        <v>0</v>
      </c>
      <c r="AE53" s="25">
        <f>IF(AQ53="7",BI53,0)</f>
        <v>0</v>
      </c>
      <c r="AF53" s="25">
        <f>IF(AQ53="2",BH53,0)</f>
        <v>0</v>
      </c>
      <c r="AG53" s="25">
        <f>IF(AQ53="2",BI53,0)</f>
        <v>0</v>
      </c>
      <c r="AH53" s="25">
        <f>IF(AQ53="0",BJ53,0)</f>
        <v>0</v>
      </c>
      <c r="AI53" s="10" t="s">
        <v>48</v>
      </c>
      <c r="AJ53" s="25">
        <f>IF(AN53=0,J53,0)</f>
        <v>0</v>
      </c>
      <c r="AK53" s="25">
        <f>IF(AN53=12,J53,0)</f>
        <v>0</v>
      </c>
      <c r="AL53" s="25">
        <f>IF(AN53=21,J53,0)</f>
        <v>0</v>
      </c>
      <c r="AN53" s="25">
        <v>21</v>
      </c>
      <c r="AO53" s="25">
        <f>G53*0.789699115</f>
        <v>0</v>
      </c>
      <c r="AP53" s="25">
        <f>G53*(1-0.789699115)</f>
        <v>0</v>
      </c>
      <c r="AQ53" s="27" t="s">
        <v>90</v>
      </c>
      <c r="AV53" s="25">
        <f>AW53+AX53</f>
        <v>0</v>
      </c>
      <c r="AW53" s="25">
        <f>F53*AO53</f>
        <v>0</v>
      </c>
      <c r="AX53" s="25">
        <f>F53*AP53</f>
        <v>0</v>
      </c>
      <c r="AY53" s="27" t="s">
        <v>140</v>
      </c>
      <c r="AZ53" s="27" t="s">
        <v>141</v>
      </c>
      <c r="BA53" s="10" t="s">
        <v>58</v>
      </c>
      <c r="BC53" s="25">
        <f>AW53+AX53</f>
        <v>0</v>
      </c>
      <c r="BD53" s="25">
        <f>G53/(100-BE53)*100</f>
        <v>0</v>
      </c>
      <c r="BE53" s="25">
        <v>0</v>
      </c>
      <c r="BF53" s="25">
        <f>53</f>
        <v>53</v>
      </c>
      <c r="BH53" s="25">
        <f>F53*AO53</f>
        <v>0</v>
      </c>
      <c r="BI53" s="25">
        <f>F53*AP53</f>
        <v>0</v>
      </c>
      <c r="BJ53" s="25">
        <f>F53*G53</f>
        <v>0</v>
      </c>
      <c r="BK53" s="25"/>
      <c r="BL53" s="25">
        <v>711</v>
      </c>
      <c r="BW53" s="25">
        <v>21</v>
      </c>
    </row>
    <row r="54" spans="1:75" ht="13.5" customHeight="1" x14ac:dyDescent="0.25">
      <c r="A54" s="28"/>
      <c r="B54" s="29" t="s">
        <v>94</v>
      </c>
      <c r="C54" s="97" t="s">
        <v>147</v>
      </c>
      <c r="D54" s="98"/>
      <c r="E54" s="98"/>
      <c r="F54" s="98"/>
      <c r="G54" s="99"/>
      <c r="H54" s="98"/>
      <c r="I54" s="98"/>
      <c r="J54" s="98"/>
      <c r="K54" s="98"/>
      <c r="L54" s="100"/>
    </row>
    <row r="55" spans="1:75" ht="27" customHeight="1" x14ac:dyDescent="0.25">
      <c r="A55" s="28"/>
      <c r="B55" s="29" t="s">
        <v>59</v>
      </c>
      <c r="C55" s="97" t="s">
        <v>148</v>
      </c>
      <c r="D55" s="98"/>
      <c r="E55" s="98"/>
      <c r="F55" s="98"/>
      <c r="G55" s="99"/>
      <c r="H55" s="98"/>
      <c r="I55" s="98"/>
      <c r="J55" s="98"/>
      <c r="K55" s="98"/>
      <c r="L55" s="100"/>
    </row>
    <row r="56" spans="1:75" ht="27" customHeight="1" x14ac:dyDescent="0.25">
      <c r="A56" s="2" t="s">
        <v>149</v>
      </c>
      <c r="B56" s="3" t="s">
        <v>150</v>
      </c>
      <c r="C56" s="91" t="s">
        <v>151</v>
      </c>
      <c r="D56" s="92"/>
      <c r="E56" s="3" t="s">
        <v>54</v>
      </c>
      <c r="F56" s="25">
        <v>62.1</v>
      </c>
      <c r="G56" s="26">
        <v>0</v>
      </c>
      <c r="H56" s="25">
        <f>F56*AO56</f>
        <v>0</v>
      </c>
      <c r="I56" s="25">
        <f>F56*AP56</f>
        <v>0</v>
      </c>
      <c r="J56" s="25">
        <f>F56*G56</f>
        <v>0</v>
      </c>
      <c r="K56" s="27" t="s">
        <v>55</v>
      </c>
      <c r="L56" s="24"/>
      <c r="Z56" s="25">
        <f>IF(AQ56="5",BJ56,0)</f>
        <v>0</v>
      </c>
      <c r="AB56" s="25">
        <f>IF(AQ56="1",BH56,0)</f>
        <v>0</v>
      </c>
      <c r="AC56" s="25">
        <f>IF(AQ56="1",BI56,0)</f>
        <v>0</v>
      </c>
      <c r="AD56" s="25">
        <f>IF(AQ56="7",BH56,0)</f>
        <v>0</v>
      </c>
      <c r="AE56" s="25">
        <f>IF(AQ56="7",BI56,0)</f>
        <v>0</v>
      </c>
      <c r="AF56" s="25">
        <f>IF(AQ56="2",BH56,0)</f>
        <v>0</v>
      </c>
      <c r="AG56" s="25">
        <f>IF(AQ56="2",BI56,0)</f>
        <v>0</v>
      </c>
      <c r="AH56" s="25">
        <f>IF(AQ56="0",BJ56,0)</f>
        <v>0</v>
      </c>
      <c r="AI56" s="10" t="s">
        <v>48</v>
      </c>
      <c r="AJ56" s="25">
        <f>IF(AN56=0,J56,0)</f>
        <v>0</v>
      </c>
      <c r="AK56" s="25">
        <f>IF(AN56=12,J56,0)</f>
        <v>0</v>
      </c>
      <c r="AL56" s="25">
        <f>IF(AN56=21,J56,0)</f>
        <v>0</v>
      </c>
      <c r="AN56" s="25">
        <v>21</v>
      </c>
      <c r="AO56" s="25">
        <f>G56*0.642550143</f>
        <v>0</v>
      </c>
      <c r="AP56" s="25">
        <f>G56*(1-0.642550143)</f>
        <v>0</v>
      </c>
      <c r="AQ56" s="27" t="s">
        <v>90</v>
      </c>
      <c r="AV56" s="25">
        <f>AW56+AX56</f>
        <v>0</v>
      </c>
      <c r="AW56" s="25">
        <f>F56*AO56</f>
        <v>0</v>
      </c>
      <c r="AX56" s="25">
        <f>F56*AP56</f>
        <v>0</v>
      </c>
      <c r="AY56" s="27" t="s">
        <v>140</v>
      </c>
      <c r="AZ56" s="27" t="s">
        <v>141</v>
      </c>
      <c r="BA56" s="10" t="s">
        <v>58</v>
      </c>
      <c r="BC56" s="25">
        <f>AW56+AX56</f>
        <v>0</v>
      </c>
      <c r="BD56" s="25">
        <f>G56/(100-BE56)*100</f>
        <v>0</v>
      </c>
      <c r="BE56" s="25">
        <v>0</v>
      </c>
      <c r="BF56" s="25">
        <f>56</f>
        <v>56</v>
      </c>
      <c r="BH56" s="25">
        <f>F56*AO56</f>
        <v>0</v>
      </c>
      <c r="BI56" s="25">
        <f>F56*AP56</f>
        <v>0</v>
      </c>
      <c r="BJ56" s="25">
        <f>F56*G56</f>
        <v>0</v>
      </c>
      <c r="BK56" s="25"/>
      <c r="BL56" s="25">
        <v>711</v>
      </c>
      <c r="BW56" s="25">
        <v>21</v>
      </c>
    </row>
    <row r="57" spans="1:75" ht="13.5" customHeight="1" x14ac:dyDescent="0.25">
      <c r="A57" s="28"/>
      <c r="B57" s="29" t="s">
        <v>94</v>
      </c>
      <c r="C57" s="97" t="s">
        <v>152</v>
      </c>
      <c r="D57" s="98"/>
      <c r="E57" s="98"/>
      <c r="F57" s="98"/>
      <c r="G57" s="99"/>
      <c r="H57" s="98"/>
      <c r="I57" s="98"/>
      <c r="J57" s="98"/>
      <c r="K57" s="98"/>
      <c r="L57" s="100"/>
    </row>
    <row r="58" spans="1:75" ht="40.5" customHeight="1" x14ac:dyDescent="0.25">
      <c r="A58" s="28"/>
      <c r="B58" s="29" t="s">
        <v>59</v>
      </c>
      <c r="C58" s="97" t="s">
        <v>153</v>
      </c>
      <c r="D58" s="98"/>
      <c r="E58" s="98"/>
      <c r="F58" s="98"/>
      <c r="G58" s="99"/>
      <c r="H58" s="98"/>
      <c r="I58" s="98"/>
      <c r="J58" s="98"/>
      <c r="K58" s="98"/>
      <c r="L58" s="100"/>
    </row>
    <row r="59" spans="1:75" ht="27" customHeight="1" x14ac:dyDescent="0.25">
      <c r="A59" s="2" t="s">
        <v>154</v>
      </c>
      <c r="B59" s="3" t="s">
        <v>155</v>
      </c>
      <c r="C59" s="91" t="s">
        <v>156</v>
      </c>
      <c r="D59" s="92"/>
      <c r="E59" s="3" t="s">
        <v>54</v>
      </c>
      <c r="F59" s="25">
        <v>68.2</v>
      </c>
      <c r="G59" s="26">
        <v>0</v>
      </c>
      <c r="H59" s="25">
        <f>F59*AO59</f>
        <v>0</v>
      </c>
      <c r="I59" s="25">
        <f>F59*AP59</f>
        <v>0</v>
      </c>
      <c r="J59" s="25">
        <f>F59*G59</f>
        <v>0</v>
      </c>
      <c r="K59" s="27" t="s">
        <v>55</v>
      </c>
      <c r="L59" s="24"/>
      <c r="Z59" s="25">
        <f>IF(AQ59="5",BJ59,0)</f>
        <v>0</v>
      </c>
      <c r="AB59" s="25">
        <f>IF(AQ59="1",BH59,0)</f>
        <v>0</v>
      </c>
      <c r="AC59" s="25">
        <f>IF(AQ59="1",BI59,0)</f>
        <v>0</v>
      </c>
      <c r="AD59" s="25">
        <f>IF(AQ59="7",BH59,0)</f>
        <v>0</v>
      </c>
      <c r="AE59" s="25">
        <f>IF(AQ59="7",BI59,0)</f>
        <v>0</v>
      </c>
      <c r="AF59" s="25">
        <f>IF(AQ59="2",BH59,0)</f>
        <v>0</v>
      </c>
      <c r="AG59" s="25">
        <f>IF(AQ59="2",BI59,0)</f>
        <v>0</v>
      </c>
      <c r="AH59" s="25">
        <f>IF(AQ59="0",BJ59,0)</f>
        <v>0</v>
      </c>
      <c r="AI59" s="10" t="s">
        <v>48</v>
      </c>
      <c r="AJ59" s="25">
        <f>IF(AN59=0,J59,0)</f>
        <v>0</v>
      </c>
      <c r="AK59" s="25">
        <f>IF(AN59=12,J59,0)</f>
        <v>0</v>
      </c>
      <c r="AL59" s="25">
        <f>IF(AN59=21,J59,0)</f>
        <v>0</v>
      </c>
      <c r="AN59" s="25">
        <v>21</v>
      </c>
      <c r="AO59" s="25">
        <f>G59*0.78744186</f>
        <v>0</v>
      </c>
      <c r="AP59" s="25">
        <f>G59*(1-0.78744186)</f>
        <v>0</v>
      </c>
      <c r="AQ59" s="27" t="s">
        <v>90</v>
      </c>
      <c r="AV59" s="25">
        <f>AW59+AX59</f>
        <v>0</v>
      </c>
      <c r="AW59" s="25">
        <f>F59*AO59</f>
        <v>0</v>
      </c>
      <c r="AX59" s="25">
        <f>F59*AP59</f>
        <v>0</v>
      </c>
      <c r="AY59" s="27" t="s">
        <v>140</v>
      </c>
      <c r="AZ59" s="27" t="s">
        <v>141</v>
      </c>
      <c r="BA59" s="10" t="s">
        <v>58</v>
      </c>
      <c r="BC59" s="25">
        <f>AW59+AX59</f>
        <v>0</v>
      </c>
      <c r="BD59" s="25">
        <f>G59/(100-BE59)*100</f>
        <v>0</v>
      </c>
      <c r="BE59" s="25">
        <v>0</v>
      </c>
      <c r="BF59" s="25">
        <f>59</f>
        <v>59</v>
      </c>
      <c r="BH59" s="25">
        <f>F59*AO59</f>
        <v>0</v>
      </c>
      <c r="BI59" s="25">
        <f>F59*AP59</f>
        <v>0</v>
      </c>
      <c r="BJ59" s="25">
        <f>F59*G59</f>
        <v>0</v>
      </c>
      <c r="BK59" s="25"/>
      <c r="BL59" s="25">
        <v>711</v>
      </c>
      <c r="BW59" s="25">
        <v>21</v>
      </c>
    </row>
    <row r="60" spans="1:75" ht="13.5" customHeight="1" x14ac:dyDescent="0.25">
      <c r="A60" s="28"/>
      <c r="B60" s="29" t="s">
        <v>94</v>
      </c>
      <c r="C60" s="97" t="s">
        <v>157</v>
      </c>
      <c r="D60" s="98"/>
      <c r="E60" s="98"/>
      <c r="F60" s="98"/>
      <c r="G60" s="99"/>
      <c r="H60" s="98"/>
      <c r="I60" s="98"/>
      <c r="J60" s="98"/>
      <c r="K60" s="98"/>
      <c r="L60" s="100"/>
    </row>
    <row r="61" spans="1:75" ht="27" customHeight="1" x14ac:dyDescent="0.25">
      <c r="A61" s="28"/>
      <c r="B61" s="29" t="s">
        <v>59</v>
      </c>
      <c r="C61" s="97" t="s">
        <v>158</v>
      </c>
      <c r="D61" s="98"/>
      <c r="E61" s="98"/>
      <c r="F61" s="98"/>
      <c r="G61" s="99"/>
      <c r="H61" s="98"/>
      <c r="I61" s="98"/>
      <c r="J61" s="98"/>
      <c r="K61" s="98"/>
      <c r="L61" s="100"/>
    </row>
    <row r="62" spans="1:75" ht="13.5" customHeight="1" x14ac:dyDescent="0.25">
      <c r="A62" s="2" t="s">
        <v>159</v>
      </c>
      <c r="B62" s="3" t="s">
        <v>160</v>
      </c>
      <c r="C62" s="91" t="s">
        <v>161</v>
      </c>
      <c r="D62" s="92"/>
      <c r="E62" s="3" t="s">
        <v>54</v>
      </c>
      <c r="F62" s="25">
        <v>68.2</v>
      </c>
      <c r="G62" s="26">
        <v>0</v>
      </c>
      <c r="H62" s="25">
        <f>F62*AO62</f>
        <v>0</v>
      </c>
      <c r="I62" s="25">
        <f>F62*AP62</f>
        <v>0</v>
      </c>
      <c r="J62" s="25">
        <f>F62*G62</f>
        <v>0</v>
      </c>
      <c r="K62" s="27" t="s">
        <v>55</v>
      </c>
      <c r="L62" s="24"/>
      <c r="Z62" s="25">
        <f>IF(AQ62="5",BJ62,0)</f>
        <v>0</v>
      </c>
      <c r="AB62" s="25">
        <f>IF(AQ62="1",BH62,0)</f>
        <v>0</v>
      </c>
      <c r="AC62" s="25">
        <f>IF(AQ62="1",BI62,0)</f>
        <v>0</v>
      </c>
      <c r="AD62" s="25">
        <f>IF(AQ62="7",BH62,0)</f>
        <v>0</v>
      </c>
      <c r="AE62" s="25">
        <f>IF(AQ62="7",BI62,0)</f>
        <v>0</v>
      </c>
      <c r="AF62" s="25">
        <f>IF(AQ62="2",BH62,0)</f>
        <v>0</v>
      </c>
      <c r="AG62" s="25">
        <f>IF(AQ62="2",BI62,0)</f>
        <v>0</v>
      </c>
      <c r="AH62" s="25">
        <f>IF(AQ62="0",BJ62,0)</f>
        <v>0</v>
      </c>
      <c r="AI62" s="10" t="s">
        <v>48</v>
      </c>
      <c r="AJ62" s="25">
        <f>IF(AN62=0,J62,0)</f>
        <v>0</v>
      </c>
      <c r="AK62" s="25">
        <f>IF(AN62=12,J62,0)</f>
        <v>0</v>
      </c>
      <c r="AL62" s="25">
        <f>IF(AN62=21,J62,0)</f>
        <v>0</v>
      </c>
      <c r="AN62" s="25">
        <v>21</v>
      </c>
      <c r="AO62" s="25">
        <f>G62*0.292078431</f>
        <v>0</v>
      </c>
      <c r="AP62" s="25">
        <f>G62*(1-0.292078431)</f>
        <v>0</v>
      </c>
      <c r="AQ62" s="27" t="s">
        <v>90</v>
      </c>
      <c r="AV62" s="25">
        <f>AW62+AX62</f>
        <v>0</v>
      </c>
      <c r="AW62" s="25">
        <f>F62*AO62</f>
        <v>0</v>
      </c>
      <c r="AX62" s="25">
        <f>F62*AP62</f>
        <v>0</v>
      </c>
      <c r="AY62" s="27" t="s">
        <v>140</v>
      </c>
      <c r="AZ62" s="27" t="s">
        <v>141</v>
      </c>
      <c r="BA62" s="10" t="s">
        <v>58</v>
      </c>
      <c r="BC62" s="25">
        <f>AW62+AX62</f>
        <v>0</v>
      </c>
      <c r="BD62" s="25">
        <f>G62/(100-BE62)*100</f>
        <v>0</v>
      </c>
      <c r="BE62" s="25">
        <v>0</v>
      </c>
      <c r="BF62" s="25">
        <f>62</f>
        <v>62</v>
      </c>
      <c r="BH62" s="25">
        <f>F62*AO62</f>
        <v>0</v>
      </c>
      <c r="BI62" s="25">
        <f>F62*AP62</f>
        <v>0</v>
      </c>
      <c r="BJ62" s="25">
        <f>F62*G62</f>
        <v>0</v>
      </c>
      <c r="BK62" s="25"/>
      <c r="BL62" s="25">
        <v>711</v>
      </c>
      <c r="BW62" s="25">
        <v>21</v>
      </c>
    </row>
    <row r="63" spans="1:75" ht="13.5" customHeight="1" x14ac:dyDescent="0.25">
      <c r="A63" s="28"/>
      <c r="B63" s="29" t="s">
        <v>94</v>
      </c>
      <c r="C63" s="97" t="s">
        <v>162</v>
      </c>
      <c r="D63" s="98"/>
      <c r="E63" s="98"/>
      <c r="F63" s="98"/>
      <c r="G63" s="99"/>
      <c r="H63" s="98"/>
      <c r="I63" s="98"/>
      <c r="J63" s="98"/>
      <c r="K63" s="98"/>
      <c r="L63" s="100"/>
    </row>
    <row r="64" spans="1:75" x14ac:dyDescent="0.25">
      <c r="A64" s="30" t="s">
        <v>48</v>
      </c>
      <c r="B64" s="31" t="s">
        <v>163</v>
      </c>
      <c r="C64" s="93" t="s">
        <v>164</v>
      </c>
      <c r="D64" s="94"/>
      <c r="E64" s="32" t="s">
        <v>4</v>
      </c>
      <c r="F64" s="32" t="s">
        <v>4</v>
      </c>
      <c r="G64" s="89" t="s">
        <v>4</v>
      </c>
      <c r="H64" s="1">
        <f>SUM(H65:H67)</f>
        <v>0</v>
      </c>
      <c r="I64" s="1">
        <f>SUM(I65:I67)</f>
        <v>0</v>
      </c>
      <c r="J64" s="1">
        <f>SUM(J65:J67)</f>
        <v>0</v>
      </c>
      <c r="K64" s="10" t="s">
        <v>48</v>
      </c>
      <c r="L64" s="24"/>
      <c r="AI64" s="10" t="s">
        <v>48</v>
      </c>
      <c r="AS64" s="1">
        <f>SUM(AJ65:AJ67)</f>
        <v>0</v>
      </c>
      <c r="AT64" s="1">
        <f>SUM(AK65:AK67)</f>
        <v>0</v>
      </c>
      <c r="AU64" s="1">
        <f>SUM(AL65:AL67)</f>
        <v>0</v>
      </c>
    </row>
    <row r="65" spans="1:75" ht="27" customHeight="1" x14ac:dyDescent="0.25">
      <c r="A65" s="2" t="s">
        <v>165</v>
      </c>
      <c r="B65" s="3" t="s">
        <v>166</v>
      </c>
      <c r="C65" s="91" t="s">
        <v>167</v>
      </c>
      <c r="D65" s="92"/>
      <c r="E65" s="3" t="s">
        <v>54</v>
      </c>
      <c r="F65" s="25">
        <v>1034.1500000000001</v>
      </c>
      <c r="G65" s="26">
        <v>0</v>
      </c>
      <c r="H65" s="25">
        <f>F65*AO65</f>
        <v>0</v>
      </c>
      <c r="I65" s="25">
        <f>F65*AP65</f>
        <v>0</v>
      </c>
      <c r="J65" s="25">
        <f>F65*G65</f>
        <v>0</v>
      </c>
      <c r="K65" s="27" t="s">
        <v>55</v>
      </c>
      <c r="L65" s="24"/>
      <c r="Z65" s="25">
        <f>IF(AQ65="5",BJ65,0)</f>
        <v>0</v>
      </c>
      <c r="AB65" s="25">
        <f>IF(AQ65="1",BH65,0)</f>
        <v>0</v>
      </c>
      <c r="AC65" s="25">
        <f>IF(AQ65="1",BI65,0)</f>
        <v>0</v>
      </c>
      <c r="AD65" s="25">
        <f>IF(AQ65="7",BH65,0)</f>
        <v>0</v>
      </c>
      <c r="AE65" s="25">
        <f>IF(AQ65="7",BI65,0)</f>
        <v>0</v>
      </c>
      <c r="AF65" s="25">
        <f>IF(AQ65="2",BH65,0)</f>
        <v>0</v>
      </c>
      <c r="AG65" s="25">
        <f>IF(AQ65="2",BI65,0)</f>
        <v>0</v>
      </c>
      <c r="AH65" s="25">
        <f>IF(AQ65="0",BJ65,0)</f>
        <v>0</v>
      </c>
      <c r="AI65" s="10" t="s">
        <v>48</v>
      </c>
      <c r="AJ65" s="25">
        <f>IF(AN65=0,J65,0)</f>
        <v>0</v>
      </c>
      <c r="AK65" s="25">
        <f>IF(AN65=12,J65,0)</f>
        <v>0</v>
      </c>
      <c r="AL65" s="25">
        <f>IF(AN65=21,J65,0)</f>
        <v>0</v>
      </c>
      <c r="AN65" s="25">
        <v>21</v>
      </c>
      <c r="AO65" s="25">
        <f>G65*0.10711462</f>
        <v>0</v>
      </c>
      <c r="AP65" s="25">
        <f>G65*(1-0.10711462)</f>
        <v>0</v>
      </c>
      <c r="AQ65" s="27" t="s">
        <v>90</v>
      </c>
      <c r="AV65" s="25">
        <f>AW65+AX65</f>
        <v>0</v>
      </c>
      <c r="AW65" s="25">
        <f>F65*AO65</f>
        <v>0</v>
      </c>
      <c r="AX65" s="25">
        <f>F65*AP65</f>
        <v>0</v>
      </c>
      <c r="AY65" s="27" t="s">
        <v>168</v>
      </c>
      <c r="AZ65" s="27" t="s">
        <v>141</v>
      </c>
      <c r="BA65" s="10" t="s">
        <v>58</v>
      </c>
      <c r="BC65" s="25">
        <f>AW65+AX65</f>
        <v>0</v>
      </c>
      <c r="BD65" s="25">
        <f>G65/(100-BE65)*100</f>
        <v>0</v>
      </c>
      <c r="BE65" s="25">
        <v>0</v>
      </c>
      <c r="BF65" s="25">
        <f>65</f>
        <v>65</v>
      </c>
      <c r="BH65" s="25">
        <f>F65*AO65</f>
        <v>0</v>
      </c>
      <c r="BI65" s="25">
        <f>F65*AP65</f>
        <v>0</v>
      </c>
      <c r="BJ65" s="25">
        <f>F65*G65</f>
        <v>0</v>
      </c>
      <c r="BK65" s="25"/>
      <c r="BL65" s="25">
        <v>712</v>
      </c>
      <c r="BW65" s="25">
        <v>21</v>
      </c>
    </row>
    <row r="66" spans="1:75" ht="27" customHeight="1" x14ac:dyDescent="0.25">
      <c r="A66" s="28"/>
      <c r="B66" s="29" t="s">
        <v>59</v>
      </c>
      <c r="C66" s="97" t="s">
        <v>169</v>
      </c>
      <c r="D66" s="98"/>
      <c r="E66" s="98"/>
      <c r="F66" s="98"/>
      <c r="G66" s="99"/>
      <c r="H66" s="98"/>
      <c r="I66" s="98"/>
      <c r="J66" s="98"/>
      <c r="K66" s="98"/>
      <c r="L66" s="100"/>
    </row>
    <row r="67" spans="1:75" ht="27" customHeight="1" x14ac:dyDescent="0.25">
      <c r="A67" s="2" t="s">
        <v>170</v>
      </c>
      <c r="B67" s="3" t="s">
        <v>171</v>
      </c>
      <c r="C67" s="91" t="s">
        <v>172</v>
      </c>
      <c r="D67" s="92"/>
      <c r="E67" s="3" t="s">
        <v>54</v>
      </c>
      <c r="F67" s="25">
        <v>1034.1500000000001</v>
      </c>
      <c r="G67" s="26">
        <v>0</v>
      </c>
      <c r="H67" s="25">
        <f>F67*AO67</f>
        <v>0</v>
      </c>
      <c r="I67" s="25">
        <f>F67*AP67</f>
        <v>0</v>
      </c>
      <c r="J67" s="25">
        <f>F67*G67</f>
        <v>0</v>
      </c>
      <c r="K67" s="27" t="s">
        <v>55</v>
      </c>
      <c r="L67" s="24"/>
      <c r="Z67" s="25">
        <f>IF(AQ67="5",BJ67,0)</f>
        <v>0</v>
      </c>
      <c r="AB67" s="25">
        <f>IF(AQ67="1",BH67,0)</f>
        <v>0</v>
      </c>
      <c r="AC67" s="25">
        <f>IF(AQ67="1",BI67,0)</f>
        <v>0</v>
      </c>
      <c r="AD67" s="25">
        <f>IF(AQ67="7",BH67,0)</f>
        <v>0</v>
      </c>
      <c r="AE67" s="25">
        <f>IF(AQ67="7",BI67,0)</f>
        <v>0</v>
      </c>
      <c r="AF67" s="25">
        <f>IF(AQ67="2",BH67,0)</f>
        <v>0</v>
      </c>
      <c r="AG67" s="25">
        <f>IF(AQ67="2",BI67,0)</f>
        <v>0</v>
      </c>
      <c r="AH67" s="25">
        <f>IF(AQ67="0",BJ67,0)</f>
        <v>0</v>
      </c>
      <c r="AI67" s="10" t="s">
        <v>48</v>
      </c>
      <c r="AJ67" s="25">
        <f>IF(AN67=0,J67,0)</f>
        <v>0</v>
      </c>
      <c r="AK67" s="25">
        <f>IF(AN67=12,J67,0)</f>
        <v>0</v>
      </c>
      <c r="AL67" s="25">
        <f>IF(AN67=21,J67,0)</f>
        <v>0</v>
      </c>
      <c r="AN67" s="25">
        <v>21</v>
      </c>
      <c r="AO67" s="25">
        <f>G67*0.042454703</f>
        <v>0</v>
      </c>
      <c r="AP67" s="25">
        <f>G67*(1-0.042454703)</f>
        <v>0</v>
      </c>
      <c r="AQ67" s="27" t="s">
        <v>90</v>
      </c>
      <c r="AV67" s="25">
        <f>AW67+AX67</f>
        <v>0</v>
      </c>
      <c r="AW67" s="25">
        <f>F67*AO67</f>
        <v>0</v>
      </c>
      <c r="AX67" s="25">
        <f>F67*AP67</f>
        <v>0</v>
      </c>
      <c r="AY67" s="27" t="s">
        <v>168</v>
      </c>
      <c r="AZ67" s="27" t="s">
        <v>141</v>
      </c>
      <c r="BA67" s="10" t="s">
        <v>58</v>
      </c>
      <c r="BC67" s="25">
        <f>AW67+AX67</f>
        <v>0</v>
      </c>
      <c r="BD67" s="25">
        <f>G67/(100-BE67)*100</f>
        <v>0</v>
      </c>
      <c r="BE67" s="25">
        <v>0</v>
      </c>
      <c r="BF67" s="25">
        <f>67</f>
        <v>67</v>
      </c>
      <c r="BH67" s="25">
        <f>F67*AO67</f>
        <v>0</v>
      </c>
      <c r="BI67" s="25">
        <f>F67*AP67</f>
        <v>0</v>
      </c>
      <c r="BJ67" s="25">
        <f>F67*G67</f>
        <v>0</v>
      </c>
      <c r="BK67" s="25"/>
      <c r="BL67" s="25">
        <v>712</v>
      </c>
      <c r="BW67" s="25">
        <v>21</v>
      </c>
    </row>
    <row r="68" spans="1:75" x14ac:dyDescent="0.25">
      <c r="A68" s="30" t="s">
        <v>48</v>
      </c>
      <c r="B68" s="31" t="s">
        <v>173</v>
      </c>
      <c r="C68" s="93" t="s">
        <v>174</v>
      </c>
      <c r="D68" s="94"/>
      <c r="E68" s="32" t="s">
        <v>4</v>
      </c>
      <c r="F68" s="32" t="s">
        <v>4</v>
      </c>
      <c r="G68" s="89" t="s">
        <v>4</v>
      </c>
      <c r="H68" s="1">
        <f>SUM(H69:H83)</f>
        <v>0</v>
      </c>
      <c r="I68" s="1">
        <f>SUM(I69:I83)</f>
        <v>0</v>
      </c>
      <c r="J68" s="1">
        <f>SUM(J69:J83)</f>
        <v>0</v>
      </c>
      <c r="K68" s="10" t="s">
        <v>48</v>
      </c>
      <c r="L68" s="24"/>
      <c r="AI68" s="10" t="s">
        <v>48</v>
      </c>
      <c r="AS68" s="1">
        <f>SUM(AJ69:AJ83)</f>
        <v>0</v>
      </c>
      <c r="AT68" s="1">
        <f>SUM(AK69:AK83)</f>
        <v>0</v>
      </c>
      <c r="AU68" s="1">
        <f>SUM(AL69:AL83)</f>
        <v>0</v>
      </c>
    </row>
    <row r="69" spans="1:75" ht="27" customHeight="1" x14ac:dyDescent="0.25">
      <c r="A69" s="2" t="s">
        <v>175</v>
      </c>
      <c r="B69" s="3" t="s">
        <v>176</v>
      </c>
      <c r="C69" s="91" t="s">
        <v>177</v>
      </c>
      <c r="D69" s="92"/>
      <c r="E69" s="3" t="s">
        <v>178</v>
      </c>
      <c r="F69" s="25">
        <v>632.52</v>
      </c>
      <c r="G69" s="26">
        <v>0</v>
      </c>
      <c r="H69" s="25">
        <f>F69*AO69</f>
        <v>0</v>
      </c>
      <c r="I69" s="25">
        <f>F69*AP69</f>
        <v>0</v>
      </c>
      <c r="J69" s="25">
        <f>F69*G69</f>
        <v>0</v>
      </c>
      <c r="K69" s="27" t="s">
        <v>55</v>
      </c>
      <c r="L69" s="24"/>
      <c r="Z69" s="25">
        <f>IF(AQ69="5",BJ69,0)</f>
        <v>0</v>
      </c>
      <c r="AB69" s="25">
        <f>IF(AQ69="1",BH69,0)</f>
        <v>0</v>
      </c>
      <c r="AC69" s="25">
        <f>IF(AQ69="1",BI69,0)</f>
        <v>0</v>
      </c>
      <c r="AD69" s="25">
        <f>IF(AQ69="7",BH69,0)</f>
        <v>0</v>
      </c>
      <c r="AE69" s="25">
        <f>IF(AQ69="7",BI69,0)</f>
        <v>0</v>
      </c>
      <c r="AF69" s="25">
        <f>IF(AQ69="2",BH69,0)</f>
        <v>0</v>
      </c>
      <c r="AG69" s="25">
        <f>IF(AQ69="2",BI69,0)</f>
        <v>0</v>
      </c>
      <c r="AH69" s="25">
        <f>IF(AQ69="0",BJ69,0)</f>
        <v>0</v>
      </c>
      <c r="AI69" s="10" t="s">
        <v>48</v>
      </c>
      <c r="AJ69" s="25">
        <f>IF(AN69=0,J69,0)</f>
        <v>0</v>
      </c>
      <c r="AK69" s="25">
        <f>IF(AN69=12,J69,0)</f>
        <v>0</v>
      </c>
      <c r="AL69" s="25">
        <f>IF(AN69=21,J69,0)</f>
        <v>0</v>
      </c>
      <c r="AN69" s="25">
        <v>21</v>
      </c>
      <c r="AO69" s="25">
        <f>G69*0.656407061</f>
        <v>0</v>
      </c>
      <c r="AP69" s="25">
        <f>G69*(1-0.656407061)</f>
        <v>0</v>
      </c>
      <c r="AQ69" s="27" t="s">
        <v>90</v>
      </c>
      <c r="AV69" s="25">
        <f>AW69+AX69</f>
        <v>0</v>
      </c>
      <c r="AW69" s="25">
        <f>F69*AO69</f>
        <v>0</v>
      </c>
      <c r="AX69" s="25">
        <f>F69*AP69</f>
        <v>0</v>
      </c>
      <c r="AY69" s="27" t="s">
        <v>179</v>
      </c>
      <c r="AZ69" s="27" t="s">
        <v>180</v>
      </c>
      <c r="BA69" s="10" t="s">
        <v>58</v>
      </c>
      <c r="BC69" s="25">
        <f>AW69+AX69</f>
        <v>0</v>
      </c>
      <c r="BD69" s="25">
        <f>G69/(100-BE69)*100</f>
        <v>0</v>
      </c>
      <c r="BE69" s="25">
        <v>0</v>
      </c>
      <c r="BF69" s="25">
        <f>69</f>
        <v>69</v>
      </c>
      <c r="BH69" s="25">
        <f>F69*AO69</f>
        <v>0</v>
      </c>
      <c r="BI69" s="25">
        <f>F69*AP69</f>
        <v>0</v>
      </c>
      <c r="BJ69" s="25">
        <f>F69*G69</f>
        <v>0</v>
      </c>
      <c r="BK69" s="25"/>
      <c r="BL69" s="25">
        <v>762</v>
      </c>
      <c r="BW69" s="25">
        <v>21</v>
      </c>
    </row>
    <row r="70" spans="1:75" ht="13.5" customHeight="1" x14ac:dyDescent="0.25">
      <c r="A70" s="28"/>
      <c r="B70" s="29" t="s">
        <v>94</v>
      </c>
      <c r="C70" s="97" t="s">
        <v>181</v>
      </c>
      <c r="D70" s="98"/>
      <c r="E70" s="98"/>
      <c r="F70" s="98"/>
      <c r="G70" s="99"/>
      <c r="H70" s="98"/>
      <c r="I70" s="98"/>
      <c r="J70" s="98"/>
      <c r="K70" s="98"/>
      <c r="L70" s="100"/>
    </row>
    <row r="71" spans="1:75" ht="27" customHeight="1" x14ac:dyDescent="0.25">
      <c r="A71" s="2" t="s">
        <v>182</v>
      </c>
      <c r="B71" s="3" t="s">
        <v>183</v>
      </c>
      <c r="C71" s="91" t="s">
        <v>184</v>
      </c>
      <c r="D71" s="92"/>
      <c r="E71" s="3" t="s">
        <v>54</v>
      </c>
      <c r="F71" s="25">
        <v>294.94</v>
      </c>
      <c r="G71" s="26">
        <v>0</v>
      </c>
      <c r="H71" s="25">
        <f>F71*AO71</f>
        <v>0</v>
      </c>
      <c r="I71" s="25">
        <f>F71*AP71</f>
        <v>0</v>
      </c>
      <c r="J71" s="25">
        <f>F71*G71</f>
        <v>0</v>
      </c>
      <c r="K71" s="27" t="s">
        <v>55</v>
      </c>
      <c r="L71" s="24"/>
      <c r="Z71" s="25">
        <f>IF(AQ71="5",BJ71,0)</f>
        <v>0</v>
      </c>
      <c r="AB71" s="25">
        <f>IF(AQ71="1",BH71,0)</f>
        <v>0</v>
      </c>
      <c r="AC71" s="25">
        <f>IF(AQ71="1",BI71,0)</f>
        <v>0</v>
      </c>
      <c r="AD71" s="25">
        <f>IF(AQ71="7",BH71,0)</f>
        <v>0</v>
      </c>
      <c r="AE71" s="25">
        <f>IF(AQ71="7",BI71,0)</f>
        <v>0</v>
      </c>
      <c r="AF71" s="25">
        <f>IF(AQ71="2",BH71,0)</f>
        <v>0</v>
      </c>
      <c r="AG71" s="25">
        <f>IF(AQ71="2",BI71,0)</f>
        <v>0</v>
      </c>
      <c r="AH71" s="25">
        <f>IF(AQ71="0",BJ71,0)</f>
        <v>0</v>
      </c>
      <c r="AI71" s="10" t="s">
        <v>48</v>
      </c>
      <c r="AJ71" s="25">
        <f>IF(AN71=0,J71,0)</f>
        <v>0</v>
      </c>
      <c r="AK71" s="25">
        <f>IF(AN71=12,J71,0)</f>
        <v>0</v>
      </c>
      <c r="AL71" s="25">
        <f>IF(AN71=21,J71,0)</f>
        <v>0</v>
      </c>
      <c r="AN71" s="25">
        <v>21</v>
      </c>
      <c r="AO71" s="25">
        <f>G71*0.650979761</f>
        <v>0</v>
      </c>
      <c r="AP71" s="25">
        <f>G71*(1-0.650979761)</f>
        <v>0</v>
      </c>
      <c r="AQ71" s="27" t="s">
        <v>90</v>
      </c>
      <c r="AV71" s="25">
        <f>AW71+AX71</f>
        <v>0</v>
      </c>
      <c r="AW71" s="25">
        <f>F71*AO71</f>
        <v>0</v>
      </c>
      <c r="AX71" s="25">
        <f>F71*AP71</f>
        <v>0</v>
      </c>
      <c r="AY71" s="27" t="s">
        <v>179</v>
      </c>
      <c r="AZ71" s="27" t="s">
        <v>180</v>
      </c>
      <c r="BA71" s="10" t="s">
        <v>58</v>
      </c>
      <c r="BC71" s="25">
        <f>AW71+AX71</f>
        <v>0</v>
      </c>
      <c r="BD71" s="25">
        <f>G71/(100-BE71)*100</f>
        <v>0</v>
      </c>
      <c r="BE71" s="25">
        <v>0</v>
      </c>
      <c r="BF71" s="25">
        <f>71</f>
        <v>71</v>
      </c>
      <c r="BH71" s="25">
        <f>F71*AO71</f>
        <v>0</v>
      </c>
      <c r="BI71" s="25">
        <f>F71*AP71</f>
        <v>0</v>
      </c>
      <c r="BJ71" s="25">
        <f>F71*G71</f>
        <v>0</v>
      </c>
      <c r="BK71" s="25"/>
      <c r="BL71" s="25">
        <v>762</v>
      </c>
      <c r="BW71" s="25">
        <v>21</v>
      </c>
    </row>
    <row r="72" spans="1:75" ht="13.5" customHeight="1" x14ac:dyDescent="0.25">
      <c r="A72" s="28"/>
      <c r="B72" s="29" t="s">
        <v>94</v>
      </c>
      <c r="C72" s="97" t="s">
        <v>185</v>
      </c>
      <c r="D72" s="98"/>
      <c r="E72" s="98"/>
      <c r="F72" s="98"/>
      <c r="G72" s="99"/>
      <c r="H72" s="98"/>
      <c r="I72" s="98"/>
      <c r="J72" s="98"/>
      <c r="K72" s="98"/>
      <c r="L72" s="100"/>
    </row>
    <row r="73" spans="1:75" ht="27" customHeight="1" x14ac:dyDescent="0.25">
      <c r="A73" s="2" t="s">
        <v>79</v>
      </c>
      <c r="B73" s="3" t="s">
        <v>186</v>
      </c>
      <c r="C73" s="91" t="s">
        <v>187</v>
      </c>
      <c r="D73" s="92"/>
      <c r="E73" s="3" t="s">
        <v>178</v>
      </c>
      <c r="F73" s="25">
        <v>1318.24</v>
      </c>
      <c r="G73" s="26">
        <v>0</v>
      </c>
      <c r="H73" s="25">
        <f>F73*AO73</f>
        <v>0</v>
      </c>
      <c r="I73" s="25">
        <f>F73*AP73</f>
        <v>0</v>
      </c>
      <c r="J73" s="25">
        <f>F73*G73</f>
        <v>0</v>
      </c>
      <c r="K73" s="27" t="s">
        <v>55</v>
      </c>
      <c r="L73" s="24"/>
      <c r="Z73" s="25">
        <f>IF(AQ73="5",BJ73,0)</f>
        <v>0</v>
      </c>
      <c r="AB73" s="25">
        <f>IF(AQ73="1",BH73,0)</f>
        <v>0</v>
      </c>
      <c r="AC73" s="25">
        <f>IF(AQ73="1",BI73,0)</f>
        <v>0</v>
      </c>
      <c r="AD73" s="25">
        <f>IF(AQ73="7",BH73,0)</f>
        <v>0</v>
      </c>
      <c r="AE73" s="25">
        <f>IF(AQ73="7",BI73,0)</f>
        <v>0</v>
      </c>
      <c r="AF73" s="25">
        <f>IF(AQ73="2",BH73,0)</f>
        <v>0</v>
      </c>
      <c r="AG73" s="25">
        <f>IF(AQ73="2",BI73,0)</f>
        <v>0</v>
      </c>
      <c r="AH73" s="25">
        <f>IF(AQ73="0",BJ73,0)</f>
        <v>0</v>
      </c>
      <c r="AI73" s="10" t="s">
        <v>48</v>
      </c>
      <c r="AJ73" s="25">
        <f>IF(AN73=0,J73,0)</f>
        <v>0</v>
      </c>
      <c r="AK73" s="25">
        <f>IF(AN73=12,J73,0)</f>
        <v>0</v>
      </c>
      <c r="AL73" s="25">
        <f>IF(AN73=21,J73,0)</f>
        <v>0</v>
      </c>
      <c r="AN73" s="25">
        <v>21</v>
      </c>
      <c r="AO73" s="25">
        <f>G73*0.55774903</f>
        <v>0</v>
      </c>
      <c r="AP73" s="25">
        <f>G73*(1-0.55774903)</f>
        <v>0</v>
      </c>
      <c r="AQ73" s="27" t="s">
        <v>90</v>
      </c>
      <c r="AV73" s="25">
        <f>AW73+AX73</f>
        <v>0</v>
      </c>
      <c r="AW73" s="25">
        <f>F73*AO73</f>
        <v>0</v>
      </c>
      <c r="AX73" s="25">
        <f>F73*AP73</f>
        <v>0</v>
      </c>
      <c r="AY73" s="27" t="s">
        <v>179</v>
      </c>
      <c r="AZ73" s="27" t="s">
        <v>180</v>
      </c>
      <c r="BA73" s="10" t="s">
        <v>58</v>
      </c>
      <c r="BC73" s="25">
        <f>AW73+AX73</f>
        <v>0</v>
      </c>
      <c r="BD73" s="25">
        <f>G73/(100-BE73)*100</f>
        <v>0</v>
      </c>
      <c r="BE73" s="25">
        <v>0</v>
      </c>
      <c r="BF73" s="25">
        <f>73</f>
        <v>73</v>
      </c>
      <c r="BH73" s="25">
        <f>F73*AO73</f>
        <v>0</v>
      </c>
      <c r="BI73" s="25">
        <f>F73*AP73</f>
        <v>0</v>
      </c>
      <c r="BJ73" s="25">
        <f>F73*G73</f>
        <v>0</v>
      </c>
      <c r="BK73" s="25"/>
      <c r="BL73" s="25">
        <v>762</v>
      </c>
      <c r="BW73" s="25">
        <v>21</v>
      </c>
    </row>
    <row r="74" spans="1:75" ht="13.5" customHeight="1" x14ac:dyDescent="0.25">
      <c r="A74" s="28"/>
      <c r="B74" s="29" t="s">
        <v>94</v>
      </c>
      <c r="C74" s="97" t="s">
        <v>188</v>
      </c>
      <c r="D74" s="98"/>
      <c r="E74" s="98"/>
      <c r="F74" s="98"/>
      <c r="G74" s="99"/>
      <c r="H74" s="98"/>
      <c r="I74" s="98"/>
      <c r="J74" s="98"/>
      <c r="K74" s="98"/>
      <c r="L74" s="100"/>
    </row>
    <row r="75" spans="1:75" ht="13.5" customHeight="1" x14ac:dyDescent="0.25">
      <c r="A75" s="28"/>
      <c r="B75" s="29" t="s">
        <v>59</v>
      </c>
      <c r="C75" s="97" t="s">
        <v>189</v>
      </c>
      <c r="D75" s="98"/>
      <c r="E75" s="98"/>
      <c r="F75" s="98"/>
      <c r="G75" s="99"/>
      <c r="H75" s="98"/>
      <c r="I75" s="98"/>
      <c r="J75" s="98"/>
      <c r="K75" s="98"/>
      <c r="L75" s="100"/>
    </row>
    <row r="76" spans="1:75" ht="27" customHeight="1" x14ac:dyDescent="0.25">
      <c r="A76" s="2" t="s">
        <v>111</v>
      </c>
      <c r="B76" s="3" t="s">
        <v>190</v>
      </c>
      <c r="C76" s="91" t="s">
        <v>191</v>
      </c>
      <c r="D76" s="92"/>
      <c r="E76" s="3" t="s">
        <v>54</v>
      </c>
      <c r="F76" s="25">
        <v>1186.3599999999999</v>
      </c>
      <c r="G76" s="26">
        <v>0</v>
      </c>
      <c r="H76" s="25">
        <f>F76*AO76</f>
        <v>0</v>
      </c>
      <c r="I76" s="25">
        <f>F76*AP76</f>
        <v>0</v>
      </c>
      <c r="J76" s="25">
        <f>F76*G76</f>
        <v>0</v>
      </c>
      <c r="K76" s="27" t="s">
        <v>55</v>
      </c>
      <c r="L76" s="24"/>
      <c r="Z76" s="25">
        <f>IF(AQ76="5",BJ76,0)</f>
        <v>0</v>
      </c>
      <c r="AB76" s="25">
        <f>IF(AQ76="1",BH76,0)</f>
        <v>0</v>
      </c>
      <c r="AC76" s="25">
        <f>IF(AQ76="1",BI76,0)</f>
        <v>0</v>
      </c>
      <c r="AD76" s="25">
        <f>IF(AQ76="7",BH76,0)</f>
        <v>0</v>
      </c>
      <c r="AE76" s="25">
        <f>IF(AQ76="7",BI76,0)</f>
        <v>0</v>
      </c>
      <c r="AF76" s="25">
        <f>IF(AQ76="2",BH76,0)</f>
        <v>0</v>
      </c>
      <c r="AG76" s="25">
        <f>IF(AQ76="2",BI76,0)</f>
        <v>0</v>
      </c>
      <c r="AH76" s="25">
        <f>IF(AQ76="0",BJ76,0)</f>
        <v>0</v>
      </c>
      <c r="AI76" s="10" t="s">
        <v>48</v>
      </c>
      <c r="AJ76" s="25">
        <f>IF(AN76=0,J76,0)</f>
        <v>0</v>
      </c>
      <c r="AK76" s="25">
        <f>IF(AN76=12,J76,0)</f>
        <v>0</v>
      </c>
      <c r="AL76" s="25">
        <f>IF(AN76=21,J76,0)</f>
        <v>0</v>
      </c>
      <c r="AN76" s="25">
        <v>21</v>
      </c>
      <c r="AO76" s="25">
        <f>G76*0.575407907</f>
        <v>0</v>
      </c>
      <c r="AP76" s="25">
        <f>G76*(1-0.575407907)</f>
        <v>0</v>
      </c>
      <c r="AQ76" s="27" t="s">
        <v>90</v>
      </c>
      <c r="AV76" s="25">
        <f>AW76+AX76</f>
        <v>0</v>
      </c>
      <c r="AW76" s="25">
        <f>F76*AO76</f>
        <v>0</v>
      </c>
      <c r="AX76" s="25">
        <f>F76*AP76</f>
        <v>0</v>
      </c>
      <c r="AY76" s="27" t="s">
        <v>179</v>
      </c>
      <c r="AZ76" s="27" t="s">
        <v>180</v>
      </c>
      <c r="BA76" s="10" t="s">
        <v>58</v>
      </c>
      <c r="BC76" s="25">
        <f>AW76+AX76</f>
        <v>0</v>
      </c>
      <c r="BD76" s="25">
        <f>G76/(100-BE76)*100</f>
        <v>0</v>
      </c>
      <c r="BE76" s="25">
        <v>0</v>
      </c>
      <c r="BF76" s="25">
        <f>76</f>
        <v>76</v>
      </c>
      <c r="BH76" s="25">
        <f>F76*AO76</f>
        <v>0</v>
      </c>
      <c r="BI76" s="25">
        <f>F76*AP76</f>
        <v>0</v>
      </c>
      <c r="BJ76" s="25">
        <f>F76*G76</f>
        <v>0</v>
      </c>
      <c r="BK76" s="25"/>
      <c r="BL76" s="25">
        <v>762</v>
      </c>
      <c r="BW76" s="25">
        <v>21</v>
      </c>
    </row>
    <row r="77" spans="1:75" ht="13.5" customHeight="1" x14ac:dyDescent="0.25">
      <c r="A77" s="28"/>
      <c r="B77" s="29" t="s">
        <v>94</v>
      </c>
      <c r="C77" s="97" t="s">
        <v>192</v>
      </c>
      <c r="D77" s="98"/>
      <c r="E77" s="98"/>
      <c r="F77" s="98"/>
      <c r="G77" s="99"/>
      <c r="H77" s="98"/>
      <c r="I77" s="98"/>
      <c r="J77" s="98"/>
      <c r="K77" s="98"/>
      <c r="L77" s="100"/>
    </row>
    <row r="78" spans="1:75" ht="27" customHeight="1" x14ac:dyDescent="0.25">
      <c r="A78" s="2" t="s">
        <v>193</v>
      </c>
      <c r="B78" s="3" t="s">
        <v>194</v>
      </c>
      <c r="C78" s="91" t="s">
        <v>195</v>
      </c>
      <c r="D78" s="92"/>
      <c r="E78" s="3" t="s">
        <v>70</v>
      </c>
      <c r="F78" s="25">
        <v>65.36</v>
      </c>
      <c r="G78" s="26">
        <v>0</v>
      </c>
      <c r="H78" s="25">
        <f>F78*AO78</f>
        <v>0</v>
      </c>
      <c r="I78" s="25">
        <f>F78*AP78</f>
        <v>0</v>
      </c>
      <c r="J78" s="25">
        <f>F78*G78</f>
        <v>0</v>
      </c>
      <c r="K78" s="27" t="s">
        <v>55</v>
      </c>
      <c r="L78" s="24"/>
      <c r="Z78" s="25">
        <f>IF(AQ78="5",BJ78,0)</f>
        <v>0</v>
      </c>
      <c r="AB78" s="25">
        <f>IF(AQ78="1",BH78,0)</f>
        <v>0</v>
      </c>
      <c r="AC78" s="25">
        <f>IF(AQ78="1",BI78,0)</f>
        <v>0</v>
      </c>
      <c r="AD78" s="25">
        <f>IF(AQ78="7",BH78,0)</f>
        <v>0</v>
      </c>
      <c r="AE78" s="25">
        <f>IF(AQ78="7",BI78,0)</f>
        <v>0</v>
      </c>
      <c r="AF78" s="25">
        <f>IF(AQ78="2",BH78,0)</f>
        <v>0</v>
      </c>
      <c r="AG78" s="25">
        <f>IF(AQ78="2",BI78,0)</f>
        <v>0</v>
      </c>
      <c r="AH78" s="25">
        <f>IF(AQ78="0",BJ78,0)</f>
        <v>0</v>
      </c>
      <c r="AI78" s="10" t="s">
        <v>48</v>
      </c>
      <c r="AJ78" s="25">
        <f>IF(AN78=0,J78,0)</f>
        <v>0</v>
      </c>
      <c r="AK78" s="25">
        <f>IF(AN78=12,J78,0)</f>
        <v>0</v>
      </c>
      <c r="AL78" s="25">
        <f>IF(AN78=21,J78,0)</f>
        <v>0</v>
      </c>
      <c r="AN78" s="25">
        <v>21</v>
      </c>
      <c r="AO78" s="25">
        <f>G78*1</f>
        <v>0</v>
      </c>
      <c r="AP78" s="25">
        <f>G78*(1-1)</f>
        <v>0</v>
      </c>
      <c r="AQ78" s="27" t="s">
        <v>90</v>
      </c>
      <c r="AV78" s="25">
        <f>AW78+AX78</f>
        <v>0</v>
      </c>
      <c r="AW78" s="25">
        <f>F78*AO78</f>
        <v>0</v>
      </c>
      <c r="AX78" s="25">
        <f>F78*AP78</f>
        <v>0</v>
      </c>
      <c r="AY78" s="27" t="s">
        <v>179</v>
      </c>
      <c r="AZ78" s="27" t="s">
        <v>180</v>
      </c>
      <c r="BA78" s="10" t="s">
        <v>58</v>
      </c>
      <c r="BC78" s="25">
        <f>AW78+AX78</f>
        <v>0</v>
      </c>
      <c r="BD78" s="25">
        <f>G78/(100-BE78)*100</f>
        <v>0</v>
      </c>
      <c r="BE78" s="25">
        <v>0</v>
      </c>
      <c r="BF78" s="25">
        <f>78</f>
        <v>78</v>
      </c>
      <c r="BH78" s="25">
        <f>F78*AO78</f>
        <v>0</v>
      </c>
      <c r="BI78" s="25">
        <f>F78*AP78</f>
        <v>0</v>
      </c>
      <c r="BJ78" s="25">
        <f>F78*G78</f>
        <v>0</v>
      </c>
      <c r="BK78" s="25"/>
      <c r="BL78" s="25">
        <v>762</v>
      </c>
      <c r="BW78" s="25">
        <v>21</v>
      </c>
    </row>
    <row r="79" spans="1:75" ht="27" customHeight="1" x14ac:dyDescent="0.25">
      <c r="A79" s="28"/>
      <c r="B79" s="29" t="s">
        <v>59</v>
      </c>
      <c r="C79" s="97" t="s">
        <v>196</v>
      </c>
      <c r="D79" s="98"/>
      <c r="E79" s="98"/>
      <c r="F79" s="98"/>
      <c r="G79" s="99"/>
      <c r="H79" s="98"/>
      <c r="I79" s="98"/>
      <c r="J79" s="98"/>
      <c r="K79" s="98"/>
      <c r="L79" s="100"/>
    </row>
    <row r="80" spans="1:75" ht="27" customHeight="1" x14ac:dyDescent="0.25">
      <c r="A80" s="2" t="s">
        <v>197</v>
      </c>
      <c r="B80" s="3" t="s">
        <v>198</v>
      </c>
      <c r="C80" s="91" t="s">
        <v>199</v>
      </c>
      <c r="D80" s="92"/>
      <c r="E80" s="3" t="s">
        <v>178</v>
      </c>
      <c r="F80" s="25">
        <v>1800</v>
      </c>
      <c r="G80" s="26">
        <v>0</v>
      </c>
      <c r="H80" s="25">
        <f>F80*AO80</f>
        <v>0</v>
      </c>
      <c r="I80" s="25">
        <f>F80*AP80</f>
        <v>0</v>
      </c>
      <c r="J80" s="25">
        <f>F80*G80</f>
        <v>0</v>
      </c>
      <c r="K80" s="27" t="s">
        <v>55</v>
      </c>
      <c r="L80" s="24"/>
      <c r="Z80" s="25">
        <f>IF(AQ80="5",BJ80,0)</f>
        <v>0</v>
      </c>
      <c r="AB80" s="25">
        <f>IF(AQ80="1",BH80,0)</f>
        <v>0</v>
      </c>
      <c r="AC80" s="25">
        <f>IF(AQ80="1",BI80,0)</f>
        <v>0</v>
      </c>
      <c r="AD80" s="25">
        <f>IF(AQ80="7",BH80,0)</f>
        <v>0</v>
      </c>
      <c r="AE80" s="25">
        <f>IF(AQ80="7",BI80,0)</f>
        <v>0</v>
      </c>
      <c r="AF80" s="25">
        <f>IF(AQ80="2",BH80,0)</f>
        <v>0</v>
      </c>
      <c r="AG80" s="25">
        <f>IF(AQ80="2",BI80,0)</f>
        <v>0</v>
      </c>
      <c r="AH80" s="25">
        <f>IF(AQ80="0",BJ80,0)</f>
        <v>0</v>
      </c>
      <c r="AI80" s="10" t="s">
        <v>48</v>
      </c>
      <c r="AJ80" s="25">
        <f>IF(AN80=0,J80,0)</f>
        <v>0</v>
      </c>
      <c r="AK80" s="25">
        <f>IF(AN80=12,J80,0)</f>
        <v>0</v>
      </c>
      <c r="AL80" s="25">
        <f>IF(AN80=21,J80,0)</f>
        <v>0</v>
      </c>
      <c r="AN80" s="25">
        <v>21</v>
      </c>
      <c r="AO80" s="25">
        <f>G80*0.024561564</f>
        <v>0</v>
      </c>
      <c r="AP80" s="25">
        <f>G80*(1-0.024561564)</f>
        <v>0</v>
      </c>
      <c r="AQ80" s="27" t="s">
        <v>90</v>
      </c>
      <c r="AV80" s="25">
        <f>AW80+AX80</f>
        <v>0</v>
      </c>
      <c r="AW80" s="25">
        <f>F80*AO80</f>
        <v>0</v>
      </c>
      <c r="AX80" s="25">
        <f>F80*AP80</f>
        <v>0</v>
      </c>
      <c r="AY80" s="27" t="s">
        <v>179</v>
      </c>
      <c r="AZ80" s="27" t="s">
        <v>180</v>
      </c>
      <c r="BA80" s="10" t="s">
        <v>58</v>
      </c>
      <c r="BC80" s="25">
        <f>AW80+AX80</f>
        <v>0</v>
      </c>
      <c r="BD80" s="25">
        <f>G80/(100-BE80)*100</f>
        <v>0</v>
      </c>
      <c r="BE80" s="25">
        <v>0</v>
      </c>
      <c r="BF80" s="25">
        <f>80</f>
        <v>80</v>
      </c>
      <c r="BH80" s="25">
        <f>F80*AO80</f>
        <v>0</v>
      </c>
      <c r="BI80" s="25">
        <f>F80*AP80</f>
        <v>0</v>
      </c>
      <c r="BJ80" s="25">
        <f>F80*G80</f>
        <v>0</v>
      </c>
      <c r="BK80" s="25"/>
      <c r="BL80" s="25">
        <v>762</v>
      </c>
      <c r="BW80" s="25">
        <v>21</v>
      </c>
    </row>
    <row r="81" spans="1:75" ht="13.5" customHeight="1" x14ac:dyDescent="0.25">
      <c r="A81" s="28"/>
      <c r="B81" s="29" t="s">
        <v>94</v>
      </c>
      <c r="C81" s="97" t="s">
        <v>200</v>
      </c>
      <c r="D81" s="98"/>
      <c r="E81" s="98"/>
      <c r="F81" s="98"/>
      <c r="G81" s="99"/>
      <c r="H81" s="98"/>
      <c r="I81" s="98"/>
      <c r="J81" s="98"/>
      <c r="K81" s="98"/>
      <c r="L81" s="100"/>
    </row>
    <row r="82" spans="1:75" ht="67.5" customHeight="1" x14ac:dyDescent="0.25">
      <c r="A82" s="28"/>
      <c r="B82" s="29" t="s">
        <v>59</v>
      </c>
      <c r="C82" s="97" t="s">
        <v>201</v>
      </c>
      <c r="D82" s="98"/>
      <c r="E82" s="98"/>
      <c r="F82" s="98"/>
      <c r="G82" s="99"/>
      <c r="H82" s="98"/>
      <c r="I82" s="98"/>
      <c r="J82" s="98"/>
      <c r="K82" s="98"/>
      <c r="L82" s="100"/>
    </row>
    <row r="83" spans="1:75" ht="27" customHeight="1" x14ac:dyDescent="0.25">
      <c r="A83" s="2" t="s">
        <v>116</v>
      </c>
      <c r="B83" s="3" t="s">
        <v>202</v>
      </c>
      <c r="C83" s="91" t="s">
        <v>203</v>
      </c>
      <c r="D83" s="92"/>
      <c r="E83" s="3" t="s">
        <v>178</v>
      </c>
      <c r="F83" s="25">
        <v>718.2</v>
      </c>
      <c r="G83" s="26">
        <v>0</v>
      </c>
      <c r="H83" s="25">
        <f>F83*AO83</f>
        <v>0</v>
      </c>
      <c r="I83" s="25">
        <f>F83*AP83</f>
        <v>0</v>
      </c>
      <c r="J83" s="25">
        <f>F83*G83</f>
        <v>0</v>
      </c>
      <c r="K83" s="27" t="s">
        <v>55</v>
      </c>
      <c r="L83" s="24"/>
      <c r="Z83" s="25">
        <f>IF(AQ83="5",BJ83,0)</f>
        <v>0</v>
      </c>
      <c r="AB83" s="25">
        <f>IF(AQ83="1",BH83,0)</f>
        <v>0</v>
      </c>
      <c r="AC83" s="25">
        <f>IF(AQ83="1",BI83,0)</f>
        <v>0</v>
      </c>
      <c r="AD83" s="25">
        <f>IF(AQ83="7",BH83,0)</f>
        <v>0</v>
      </c>
      <c r="AE83" s="25">
        <f>IF(AQ83="7",BI83,0)</f>
        <v>0</v>
      </c>
      <c r="AF83" s="25">
        <f>IF(AQ83="2",BH83,0)</f>
        <v>0</v>
      </c>
      <c r="AG83" s="25">
        <f>IF(AQ83="2",BI83,0)</f>
        <v>0</v>
      </c>
      <c r="AH83" s="25">
        <f>IF(AQ83="0",BJ83,0)</f>
        <v>0</v>
      </c>
      <c r="AI83" s="10" t="s">
        <v>48</v>
      </c>
      <c r="AJ83" s="25">
        <f>IF(AN83=0,J83,0)</f>
        <v>0</v>
      </c>
      <c r="AK83" s="25">
        <f>IF(AN83=12,J83,0)</f>
        <v>0</v>
      </c>
      <c r="AL83" s="25">
        <f>IF(AN83=21,J83,0)</f>
        <v>0</v>
      </c>
      <c r="AN83" s="25">
        <v>21</v>
      </c>
      <c r="AO83" s="25">
        <f>G83*0.074163438</f>
        <v>0</v>
      </c>
      <c r="AP83" s="25">
        <f>G83*(1-0.074163438)</f>
        <v>0</v>
      </c>
      <c r="AQ83" s="27" t="s">
        <v>90</v>
      </c>
      <c r="AV83" s="25">
        <f>AW83+AX83</f>
        <v>0</v>
      </c>
      <c r="AW83" s="25">
        <f>F83*AO83</f>
        <v>0</v>
      </c>
      <c r="AX83" s="25">
        <f>F83*AP83</f>
        <v>0</v>
      </c>
      <c r="AY83" s="27" t="s">
        <v>179</v>
      </c>
      <c r="AZ83" s="27" t="s">
        <v>180</v>
      </c>
      <c r="BA83" s="10" t="s">
        <v>58</v>
      </c>
      <c r="BC83" s="25">
        <f>AW83+AX83</f>
        <v>0</v>
      </c>
      <c r="BD83" s="25">
        <f>G83/(100-BE83)*100</f>
        <v>0</v>
      </c>
      <c r="BE83" s="25">
        <v>0</v>
      </c>
      <c r="BF83" s="25">
        <f>83</f>
        <v>83</v>
      </c>
      <c r="BH83" s="25">
        <f>F83*AO83</f>
        <v>0</v>
      </c>
      <c r="BI83" s="25">
        <f>F83*AP83</f>
        <v>0</v>
      </c>
      <c r="BJ83" s="25">
        <f>F83*G83</f>
        <v>0</v>
      </c>
      <c r="BK83" s="25"/>
      <c r="BL83" s="25">
        <v>762</v>
      </c>
      <c r="BW83" s="25">
        <v>21</v>
      </c>
    </row>
    <row r="84" spans="1:75" ht="13.5" customHeight="1" x14ac:dyDescent="0.25">
      <c r="A84" s="28"/>
      <c r="B84" s="29" t="s">
        <v>59</v>
      </c>
      <c r="C84" s="97" t="s">
        <v>204</v>
      </c>
      <c r="D84" s="98"/>
      <c r="E84" s="98"/>
      <c r="F84" s="98"/>
      <c r="G84" s="99"/>
      <c r="H84" s="98"/>
      <c r="I84" s="98"/>
      <c r="J84" s="98"/>
      <c r="K84" s="98"/>
      <c r="L84" s="100"/>
    </row>
    <row r="85" spans="1:75" x14ac:dyDescent="0.25">
      <c r="A85" s="30" t="s">
        <v>48</v>
      </c>
      <c r="B85" s="31" t="s">
        <v>205</v>
      </c>
      <c r="C85" s="93" t="s">
        <v>206</v>
      </c>
      <c r="D85" s="94"/>
      <c r="E85" s="32" t="s">
        <v>4</v>
      </c>
      <c r="F85" s="32" t="s">
        <v>4</v>
      </c>
      <c r="G85" s="89" t="s">
        <v>4</v>
      </c>
      <c r="H85" s="1">
        <f>SUM(H86:H93)</f>
        <v>0</v>
      </c>
      <c r="I85" s="1">
        <f>SUM(I86:I93)</f>
        <v>0</v>
      </c>
      <c r="J85" s="1">
        <f>SUM(J86:J93)</f>
        <v>0</v>
      </c>
      <c r="K85" s="10" t="s">
        <v>48</v>
      </c>
      <c r="L85" s="24"/>
      <c r="AI85" s="10" t="s">
        <v>48</v>
      </c>
      <c r="AS85" s="1">
        <f>SUM(AJ86:AJ93)</f>
        <v>0</v>
      </c>
      <c r="AT85" s="1">
        <f>SUM(AK86:AK93)</f>
        <v>0</v>
      </c>
      <c r="AU85" s="1">
        <f>SUM(AL86:AL93)</f>
        <v>0</v>
      </c>
    </row>
    <row r="86" spans="1:75" ht="13.5" customHeight="1" x14ac:dyDescent="0.25">
      <c r="A86" s="2" t="s">
        <v>207</v>
      </c>
      <c r="B86" s="3" t="s">
        <v>208</v>
      </c>
      <c r="C86" s="91" t="s">
        <v>209</v>
      </c>
      <c r="D86" s="92"/>
      <c r="E86" s="3" t="s">
        <v>178</v>
      </c>
      <c r="F86" s="25">
        <v>63.36</v>
      </c>
      <c r="G86" s="26">
        <v>0</v>
      </c>
      <c r="H86" s="25">
        <f>F86*AO86</f>
        <v>0</v>
      </c>
      <c r="I86" s="25">
        <f>F86*AP86</f>
        <v>0</v>
      </c>
      <c r="J86" s="25">
        <f>F86*G86</f>
        <v>0</v>
      </c>
      <c r="K86" s="27" t="s">
        <v>55</v>
      </c>
      <c r="L86" s="24"/>
      <c r="Z86" s="25">
        <f>IF(AQ86="5",BJ86,0)</f>
        <v>0</v>
      </c>
      <c r="AB86" s="25">
        <f>IF(AQ86="1",BH86,0)</f>
        <v>0</v>
      </c>
      <c r="AC86" s="25">
        <f>IF(AQ86="1",BI86,0)</f>
        <v>0</v>
      </c>
      <c r="AD86" s="25">
        <f>IF(AQ86="7",BH86,0)</f>
        <v>0</v>
      </c>
      <c r="AE86" s="25">
        <f>IF(AQ86="7",BI86,0)</f>
        <v>0</v>
      </c>
      <c r="AF86" s="25">
        <f>IF(AQ86="2",BH86,0)</f>
        <v>0</v>
      </c>
      <c r="AG86" s="25">
        <f>IF(AQ86="2",BI86,0)</f>
        <v>0</v>
      </c>
      <c r="AH86" s="25">
        <f>IF(AQ86="0",BJ86,0)</f>
        <v>0</v>
      </c>
      <c r="AI86" s="10" t="s">
        <v>48</v>
      </c>
      <c r="AJ86" s="25">
        <f>IF(AN86=0,J86,0)</f>
        <v>0</v>
      </c>
      <c r="AK86" s="25">
        <f>IF(AN86=12,J86,0)</f>
        <v>0</v>
      </c>
      <c r="AL86" s="25">
        <f>IF(AN86=21,J86,0)</f>
        <v>0</v>
      </c>
      <c r="AN86" s="25">
        <v>21</v>
      </c>
      <c r="AO86" s="25">
        <f>G86*0.811217298</f>
        <v>0</v>
      </c>
      <c r="AP86" s="25">
        <f>G86*(1-0.811217298)</f>
        <v>0</v>
      </c>
      <c r="AQ86" s="27" t="s">
        <v>90</v>
      </c>
      <c r="AV86" s="25">
        <f>AW86+AX86</f>
        <v>0</v>
      </c>
      <c r="AW86" s="25">
        <f>F86*AO86</f>
        <v>0</v>
      </c>
      <c r="AX86" s="25">
        <f>F86*AP86</f>
        <v>0</v>
      </c>
      <c r="AY86" s="27" t="s">
        <v>210</v>
      </c>
      <c r="AZ86" s="27" t="s">
        <v>180</v>
      </c>
      <c r="BA86" s="10" t="s">
        <v>58</v>
      </c>
      <c r="BC86" s="25">
        <f>AW86+AX86</f>
        <v>0</v>
      </c>
      <c r="BD86" s="25">
        <f>G86/(100-BE86)*100</f>
        <v>0</v>
      </c>
      <c r="BE86" s="25">
        <v>0</v>
      </c>
      <c r="BF86" s="25">
        <f>86</f>
        <v>86</v>
      </c>
      <c r="BH86" s="25">
        <f>F86*AO86</f>
        <v>0</v>
      </c>
      <c r="BI86" s="25">
        <f>F86*AP86</f>
        <v>0</v>
      </c>
      <c r="BJ86" s="25">
        <f>F86*G86</f>
        <v>0</v>
      </c>
      <c r="BK86" s="25"/>
      <c r="BL86" s="25">
        <v>764</v>
      </c>
      <c r="BW86" s="25">
        <v>21</v>
      </c>
    </row>
    <row r="87" spans="1:75" ht="27" customHeight="1" x14ac:dyDescent="0.25">
      <c r="A87" s="2" t="s">
        <v>211</v>
      </c>
      <c r="B87" s="3" t="s">
        <v>212</v>
      </c>
      <c r="C87" s="91" t="s">
        <v>213</v>
      </c>
      <c r="D87" s="92"/>
      <c r="E87" s="3" t="s">
        <v>178</v>
      </c>
      <c r="F87" s="25">
        <v>82</v>
      </c>
      <c r="G87" s="26">
        <v>0</v>
      </c>
      <c r="H87" s="25">
        <f>F87*AO87</f>
        <v>0</v>
      </c>
      <c r="I87" s="25">
        <f>F87*AP87</f>
        <v>0</v>
      </c>
      <c r="J87" s="25">
        <f>F87*G87</f>
        <v>0</v>
      </c>
      <c r="K87" s="27" t="s">
        <v>55</v>
      </c>
      <c r="L87" s="24"/>
      <c r="Z87" s="25">
        <f>IF(AQ87="5",BJ87,0)</f>
        <v>0</v>
      </c>
      <c r="AB87" s="25">
        <f>IF(AQ87="1",BH87,0)</f>
        <v>0</v>
      </c>
      <c r="AC87" s="25">
        <f>IF(AQ87="1",BI87,0)</f>
        <v>0</v>
      </c>
      <c r="AD87" s="25">
        <f>IF(AQ87="7",BH87,0)</f>
        <v>0</v>
      </c>
      <c r="AE87" s="25">
        <f>IF(AQ87="7",BI87,0)</f>
        <v>0</v>
      </c>
      <c r="AF87" s="25">
        <f>IF(AQ87="2",BH87,0)</f>
        <v>0</v>
      </c>
      <c r="AG87" s="25">
        <f>IF(AQ87="2",BI87,0)</f>
        <v>0</v>
      </c>
      <c r="AH87" s="25">
        <f>IF(AQ87="0",BJ87,0)</f>
        <v>0</v>
      </c>
      <c r="AI87" s="10" t="s">
        <v>48</v>
      </c>
      <c r="AJ87" s="25">
        <f>IF(AN87=0,J87,0)</f>
        <v>0</v>
      </c>
      <c r="AK87" s="25">
        <f>IF(AN87=12,J87,0)</f>
        <v>0</v>
      </c>
      <c r="AL87" s="25">
        <f>IF(AN87=21,J87,0)</f>
        <v>0</v>
      </c>
      <c r="AN87" s="25">
        <v>21</v>
      </c>
      <c r="AO87" s="25">
        <f>G87*0.756300956</f>
        <v>0</v>
      </c>
      <c r="AP87" s="25">
        <f>G87*(1-0.756300956)</f>
        <v>0</v>
      </c>
      <c r="AQ87" s="27" t="s">
        <v>90</v>
      </c>
      <c r="AV87" s="25">
        <f>AW87+AX87</f>
        <v>0</v>
      </c>
      <c r="AW87" s="25">
        <f>F87*AO87</f>
        <v>0</v>
      </c>
      <c r="AX87" s="25">
        <f>F87*AP87</f>
        <v>0</v>
      </c>
      <c r="AY87" s="27" t="s">
        <v>210</v>
      </c>
      <c r="AZ87" s="27" t="s">
        <v>180</v>
      </c>
      <c r="BA87" s="10" t="s">
        <v>58</v>
      </c>
      <c r="BC87" s="25">
        <f>AW87+AX87</f>
        <v>0</v>
      </c>
      <c r="BD87" s="25">
        <f>G87/(100-BE87)*100</f>
        <v>0</v>
      </c>
      <c r="BE87" s="25">
        <v>0</v>
      </c>
      <c r="BF87" s="25">
        <f>87</f>
        <v>87</v>
      </c>
      <c r="BH87" s="25">
        <f>F87*AO87</f>
        <v>0</v>
      </c>
      <c r="BI87" s="25">
        <f>F87*AP87</f>
        <v>0</v>
      </c>
      <c r="BJ87" s="25">
        <f>F87*G87</f>
        <v>0</v>
      </c>
      <c r="BK87" s="25"/>
      <c r="BL87" s="25">
        <v>764</v>
      </c>
      <c r="BW87" s="25">
        <v>21</v>
      </c>
    </row>
    <row r="88" spans="1:75" ht="13.5" customHeight="1" x14ac:dyDescent="0.25">
      <c r="A88" s="28"/>
      <c r="B88" s="29" t="s">
        <v>59</v>
      </c>
      <c r="C88" s="97" t="s">
        <v>214</v>
      </c>
      <c r="D88" s="98"/>
      <c r="E88" s="98"/>
      <c r="F88" s="98"/>
      <c r="G88" s="99"/>
      <c r="H88" s="98"/>
      <c r="I88" s="98"/>
      <c r="J88" s="98"/>
      <c r="K88" s="98"/>
      <c r="L88" s="100"/>
    </row>
    <row r="89" spans="1:75" ht="27" customHeight="1" x14ac:dyDescent="0.25">
      <c r="A89" s="2" t="s">
        <v>215</v>
      </c>
      <c r="B89" s="3" t="s">
        <v>216</v>
      </c>
      <c r="C89" s="91" t="s">
        <v>217</v>
      </c>
      <c r="D89" s="92"/>
      <c r="E89" s="3" t="s">
        <v>178</v>
      </c>
      <c r="F89" s="25">
        <v>66</v>
      </c>
      <c r="G89" s="26">
        <v>0</v>
      </c>
      <c r="H89" s="25">
        <f>F89*AO89</f>
        <v>0</v>
      </c>
      <c r="I89" s="25">
        <f>F89*AP89</f>
        <v>0</v>
      </c>
      <c r="J89" s="25">
        <f>F89*G89</f>
        <v>0</v>
      </c>
      <c r="K89" s="27" t="s">
        <v>55</v>
      </c>
      <c r="L89" s="24"/>
      <c r="Z89" s="25">
        <f>IF(AQ89="5",BJ89,0)</f>
        <v>0</v>
      </c>
      <c r="AB89" s="25">
        <f>IF(AQ89="1",BH89,0)</f>
        <v>0</v>
      </c>
      <c r="AC89" s="25">
        <f>IF(AQ89="1",BI89,0)</f>
        <v>0</v>
      </c>
      <c r="AD89" s="25">
        <f>IF(AQ89="7",BH89,0)</f>
        <v>0</v>
      </c>
      <c r="AE89" s="25">
        <f>IF(AQ89="7",BI89,0)</f>
        <v>0</v>
      </c>
      <c r="AF89" s="25">
        <f>IF(AQ89="2",BH89,0)</f>
        <v>0</v>
      </c>
      <c r="AG89" s="25">
        <f>IF(AQ89="2",BI89,0)</f>
        <v>0</v>
      </c>
      <c r="AH89" s="25">
        <f>IF(AQ89="0",BJ89,0)</f>
        <v>0</v>
      </c>
      <c r="AI89" s="10" t="s">
        <v>48</v>
      </c>
      <c r="AJ89" s="25">
        <f>IF(AN89=0,J89,0)</f>
        <v>0</v>
      </c>
      <c r="AK89" s="25">
        <f>IF(AN89=12,J89,0)</f>
        <v>0</v>
      </c>
      <c r="AL89" s="25">
        <f>IF(AN89=21,J89,0)</f>
        <v>0</v>
      </c>
      <c r="AN89" s="25">
        <v>21</v>
      </c>
      <c r="AO89" s="25">
        <f>G89*0.764252276</f>
        <v>0</v>
      </c>
      <c r="AP89" s="25">
        <f>G89*(1-0.764252276)</f>
        <v>0</v>
      </c>
      <c r="AQ89" s="27" t="s">
        <v>90</v>
      </c>
      <c r="AV89" s="25">
        <f>AW89+AX89</f>
        <v>0</v>
      </c>
      <c r="AW89" s="25">
        <f>F89*AO89</f>
        <v>0</v>
      </c>
      <c r="AX89" s="25">
        <f>F89*AP89</f>
        <v>0</v>
      </c>
      <c r="AY89" s="27" t="s">
        <v>210</v>
      </c>
      <c r="AZ89" s="27" t="s">
        <v>180</v>
      </c>
      <c r="BA89" s="10" t="s">
        <v>58</v>
      </c>
      <c r="BC89" s="25">
        <f>AW89+AX89</f>
        <v>0</v>
      </c>
      <c r="BD89" s="25">
        <f>G89/(100-BE89)*100</f>
        <v>0</v>
      </c>
      <c r="BE89" s="25">
        <v>0</v>
      </c>
      <c r="BF89" s="25">
        <f>89</f>
        <v>89</v>
      </c>
      <c r="BH89" s="25">
        <f>F89*AO89</f>
        <v>0</v>
      </c>
      <c r="BI89" s="25">
        <f>F89*AP89</f>
        <v>0</v>
      </c>
      <c r="BJ89" s="25">
        <f>F89*G89</f>
        <v>0</v>
      </c>
      <c r="BK89" s="25"/>
      <c r="BL89" s="25">
        <v>764</v>
      </c>
      <c r="BW89" s="25">
        <v>21</v>
      </c>
    </row>
    <row r="90" spans="1:75" ht="27" customHeight="1" x14ac:dyDescent="0.25">
      <c r="A90" s="2" t="s">
        <v>218</v>
      </c>
      <c r="B90" s="3" t="s">
        <v>219</v>
      </c>
      <c r="C90" s="91" t="s">
        <v>220</v>
      </c>
      <c r="D90" s="92"/>
      <c r="E90" s="3" t="s">
        <v>221</v>
      </c>
      <c r="F90" s="25">
        <v>6</v>
      </c>
      <c r="G90" s="26">
        <v>0</v>
      </c>
      <c r="H90" s="25">
        <f>F90*AO90</f>
        <v>0</v>
      </c>
      <c r="I90" s="25">
        <f>F90*AP90</f>
        <v>0</v>
      </c>
      <c r="J90" s="25">
        <f>F90*G90</f>
        <v>0</v>
      </c>
      <c r="K90" s="27" t="s">
        <v>55</v>
      </c>
      <c r="L90" s="24"/>
      <c r="Z90" s="25">
        <f>IF(AQ90="5",BJ90,0)</f>
        <v>0</v>
      </c>
      <c r="AB90" s="25">
        <f>IF(AQ90="1",BH90,0)</f>
        <v>0</v>
      </c>
      <c r="AC90" s="25">
        <f>IF(AQ90="1",BI90,0)</f>
        <v>0</v>
      </c>
      <c r="AD90" s="25">
        <f>IF(AQ90="7",BH90,0)</f>
        <v>0</v>
      </c>
      <c r="AE90" s="25">
        <f>IF(AQ90="7",BI90,0)</f>
        <v>0</v>
      </c>
      <c r="AF90" s="25">
        <f>IF(AQ90="2",BH90,0)</f>
        <v>0</v>
      </c>
      <c r="AG90" s="25">
        <f>IF(AQ90="2",BI90,0)</f>
        <v>0</v>
      </c>
      <c r="AH90" s="25">
        <f>IF(AQ90="0",BJ90,0)</f>
        <v>0</v>
      </c>
      <c r="AI90" s="10" t="s">
        <v>48</v>
      </c>
      <c r="AJ90" s="25">
        <f>IF(AN90=0,J90,0)</f>
        <v>0</v>
      </c>
      <c r="AK90" s="25">
        <f>IF(AN90=12,J90,0)</f>
        <v>0</v>
      </c>
      <c r="AL90" s="25">
        <f>IF(AN90=21,J90,0)</f>
        <v>0</v>
      </c>
      <c r="AN90" s="25">
        <v>21</v>
      </c>
      <c r="AO90" s="25">
        <f>G90*0.902407407</f>
        <v>0</v>
      </c>
      <c r="AP90" s="25">
        <f>G90*(1-0.902407407)</f>
        <v>0</v>
      </c>
      <c r="AQ90" s="27" t="s">
        <v>90</v>
      </c>
      <c r="AV90" s="25">
        <f>AW90+AX90</f>
        <v>0</v>
      </c>
      <c r="AW90" s="25">
        <f>F90*AO90</f>
        <v>0</v>
      </c>
      <c r="AX90" s="25">
        <f>F90*AP90</f>
        <v>0</v>
      </c>
      <c r="AY90" s="27" t="s">
        <v>210</v>
      </c>
      <c r="AZ90" s="27" t="s">
        <v>180</v>
      </c>
      <c r="BA90" s="10" t="s">
        <v>58</v>
      </c>
      <c r="BC90" s="25">
        <f>AW90+AX90</f>
        <v>0</v>
      </c>
      <c r="BD90" s="25">
        <f>G90/(100-BE90)*100</f>
        <v>0</v>
      </c>
      <c r="BE90" s="25">
        <v>0</v>
      </c>
      <c r="BF90" s="25">
        <f>90</f>
        <v>90</v>
      </c>
      <c r="BH90" s="25">
        <f>F90*AO90</f>
        <v>0</v>
      </c>
      <c r="BI90" s="25">
        <f>F90*AP90</f>
        <v>0</v>
      </c>
      <c r="BJ90" s="25">
        <f>F90*G90</f>
        <v>0</v>
      </c>
      <c r="BK90" s="25"/>
      <c r="BL90" s="25">
        <v>764</v>
      </c>
      <c r="BW90" s="25">
        <v>21</v>
      </c>
    </row>
    <row r="91" spans="1:75" ht="27" customHeight="1" x14ac:dyDescent="0.25">
      <c r="A91" s="2" t="s">
        <v>222</v>
      </c>
      <c r="B91" s="3" t="s">
        <v>223</v>
      </c>
      <c r="C91" s="91" t="s">
        <v>224</v>
      </c>
      <c r="D91" s="92"/>
      <c r="E91" s="3" t="s">
        <v>178</v>
      </c>
      <c r="F91" s="25">
        <v>96</v>
      </c>
      <c r="G91" s="26">
        <v>0</v>
      </c>
      <c r="H91" s="25">
        <f>F91*AO91</f>
        <v>0</v>
      </c>
      <c r="I91" s="25">
        <f>F91*AP91</f>
        <v>0</v>
      </c>
      <c r="J91" s="25">
        <f>F91*G91</f>
        <v>0</v>
      </c>
      <c r="K91" s="27" t="s">
        <v>55</v>
      </c>
      <c r="L91" s="24"/>
      <c r="Z91" s="25">
        <f>IF(AQ91="5",BJ91,0)</f>
        <v>0</v>
      </c>
      <c r="AB91" s="25">
        <f>IF(AQ91="1",BH91,0)</f>
        <v>0</v>
      </c>
      <c r="AC91" s="25">
        <f>IF(AQ91="1",BI91,0)</f>
        <v>0</v>
      </c>
      <c r="AD91" s="25">
        <f>IF(AQ91="7",BH91,0)</f>
        <v>0</v>
      </c>
      <c r="AE91" s="25">
        <f>IF(AQ91="7",BI91,0)</f>
        <v>0</v>
      </c>
      <c r="AF91" s="25">
        <f>IF(AQ91="2",BH91,0)</f>
        <v>0</v>
      </c>
      <c r="AG91" s="25">
        <f>IF(AQ91="2",BI91,0)</f>
        <v>0</v>
      </c>
      <c r="AH91" s="25">
        <f>IF(AQ91="0",BJ91,0)</f>
        <v>0</v>
      </c>
      <c r="AI91" s="10" t="s">
        <v>48</v>
      </c>
      <c r="AJ91" s="25">
        <f>IF(AN91=0,J91,0)</f>
        <v>0</v>
      </c>
      <c r="AK91" s="25">
        <f>IF(AN91=12,J91,0)</f>
        <v>0</v>
      </c>
      <c r="AL91" s="25">
        <f>IF(AN91=21,J91,0)</f>
        <v>0</v>
      </c>
      <c r="AN91" s="25">
        <v>21</v>
      </c>
      <c r="AO91" s="25">
        <f>G91*0.77705414</f>
        <v>0</v>
      </c>
      <c r="AP91" s="25">
        <f>G91*(1-0.77705414)</f>
        <v>0</v>
      </c>
      <c r="AQ91" s="27" t="s">
        <v>90</v>
      </c>
      <c r="AV91" s="25">
        <f>AW91+AX91</f>
        <v>0</v>
      </c>
      <c r="AW91" s="25">
        <f>F91*AO91</f>
        <v>0</v>
      </c>
      <c r="AX91" s="25">
        <f>F91*AP91</f>
        <v>0</v>
      </c>
      <c r="AY91" s="27" t="s">
        <v>210</v>
      </c>
      <c r="AZ91" s="27" t="s">
        <v>180</v>
      </c>
      <c r="BA91" s="10" t="s">
        <v>58</v>
      </c>
      <c r="BC91" s="25">
        <f>AW91+AX91</f>
        <v>0</v>
      </c>
      <c r="BD91" s="25">
        <f>G91/(100-BE91)*100</f>
        <v>0</v>
      </c>
      <c r="BE91" s="25">
        <v>0</v>
      </c>
      <c r="BF91" s="25">
        <f>91</f>
        <v>91</v>
      </c>
      <c r="BH91" s="25">
        <f>F91*AO91</f>
        <v>0</v>
      </c>
      <c r="BI91" s="25">
        <f>F91*AP91</f>
        <v>0</v>
      </c>
      <c r="BJ91" s="25">
        <f>F91*G91</f>
        <v>0</v>
      </c>
      <c r="BK91" s="25"/>
      <c r="BL91" s="25">
        <v>764</v>
      </c>
      <c r="BW91" s="25">
        <v>21</v>
      </c>
    </row>
    <row r="92" spans="1:75" ht="13.5" customHeight="1" x14ac:dyDescent="0.25">
      <c r="A92" s="28"/>
      <c r="B92" s="29" t="s">
        <v>59</v>
      </c>
      <c r="C92" s="97" t="s">
        <v>225</v>
      </c>
      <c r="D92" s="98"/>
      <c r="E92" s="98"/>
      <c r="F92" s="98"/>
      <c r="G92" s="99"/>
      <c r="H92" s="98"/>
      <c r="I92" s="98"/>
      <c r="J92" s="98"/>
      <c r="K92" s="98"/>
      <c r="L92" s="100"/>
    </row>
    <row r="93" spans="1:75" ht="13.5" customHeight="1" x14ac:dyDescent="0.25">
      <c r="A93" s="2" t="s">
        <v>226</v>
      </c>
      <c r="B93" s="3" t="s">
        <v>227</v>
      </c>
      <c r="C93" s="91" t="s">
        <v>228</v>
      </c>
      <c r="D93" s="92"/>
      <c r="E93" s="3" t="s">
        <v>178</v>
      </c>
      <c r="F93" s="25">
        <v>18.5</v>
      </c>
      <c r="G93" s="26">
        <v>0</v>
      </c>
      <c r="H93" s="25">
        <f>F93*AO93</f>
        <v>0</v>
      </c>
      <c r="I93" s="25">
        <f>F93*AP93</f>
        <v>0</v>
      </c>
      <c r="J93" s="25">
        <f>F93*G93</f>
        <v>0</v>
      </c>
      <c r="K93" s="27" t="s">
        <v>55</v>
      </c>
      <c r="L93" s="24"/>
      <c r="Z93" s="25">
        <f>IF(AQ93="5",BJ93,0)</f>
        <v>0</v>
      </c>
      <c r="AB93" s="25">
        <f>IF(AQ93="1",BH93,0)</f>
        <v>0</v>
      </c>
      <c r="AC93" s="25">
        <f>IF(AQ93="1",BI93,0)</f>
        <v>0</v>
      </c>
      <c r="AD93" s="25">
        <f>IF(AQ93="7",BH93,0)</f>
        <v>0</v>
      </c>
      <c r="AE93" s="25">
        <f>IF(AQ93="7",BI93,0)</f>
        <v>0</v>
      </c>
      <c r="AF93" s="25">
        <f>IF(AQ93="2",BH93,0)</f>
        <v>0</v>
      </c>
      <c r="AG93" s="25">
        <f>IF(AQ93="2",BI93,0)</f>
        <v>0</v>
      </c>
      <c r="AH93" s="25">
        <f>IF(AQ93="0",BJ93,0)</f>
        <v>0</v>
      </c>
      <c r="AI93" s="10" t="s">
        <v>48</v>
      </c>
      <c r="AJ93" s="25">
        <f>IF(AN93=0,J93,0)</f>
        <v>0</v>
      </c>
      <c r="AK93" s="25">
        <f>IF(AN93=12,J93,0)</f>
        <v>0</v>
      </c>
      <c r="AL93" s="25">
        <f>IF(AN93=21,J93,0)</f>
        <v>0</v>
      </c>
      <c r="AN93" s="25">
        <v>21</v>
      </c>
      <c r="AO93" s="25">
        <f>G93*0.277844156</f>
        <v>0</v>
      </c>
      <c r="AP93" s="25">
        <f>G93*(1-0.277844156)</f>
        <v>0</v>
      </c>
      <c r="AQ93" s="27" t="s">
        <v>90</v>
      </c>
      <c r="AV93" s="25">
        <f>AW93+AX93</f>
        <v>0</v>
      </c>
      <c r="AW93" s="25">
        <f>F93*AO93</f>
        <v>0</v>
      </c>
      <c r="AX93" s="25">
        <f>F93*AP93</f>
        <v>0</v>
      </c>
      <c r="AY93" s="27" t="s">
        <v>210</v>
      </c>
      <c r="AZ93" s="27" t="s">
        <v>180</v>
      </c>
      <c r="BA93" s="10" t="s">
        <v>58</v>
      </c>
      <c r="BC93" s="25">
        <f>AW93+AX93</f>
        <v>0</v>
      </c>
      <c r="BD93" s="25">
        <f>G93/(100-BE93)*100</f>
        <v>0</v>
      </c>
      <c r="BE93" s="25">
        <v>0</v>
      </c>
      <c r="BF93" s="25">
        <f>93</f>
        <v>93</v>
      </c>
      <c r="BH93" s="25">
        <f>F93*AO93</f>
        <v>0</v>
      </c>
      <c r="BI93" s="25">
        <f>F93*AP93</f>
        <v>0</v>
      </c>
      <c r="BJ93" s="25">
        <f>F93*G93</f>
        <v>0</v>
      </c>
      <c r="BK93" s="25"/>
      <c r="BL93" s="25">
        <v>764</v>
      </c>
      <c r="BW93" s="25">
        <v>21</v>
      </c>
    </row>
    <row r="94" spans="1:75" ht="13.5" customHeight="1" x14ac:dyDescent="0.25">
      <c r="A94" s="28"/>
      <c r="B94" s="29" t="s">
        <v>94</v>
      </c>
      <c r="C94" s="97" t="s">
        <v>229</v>
      </c>
      <c r="D94" s="98"/>
      <c r="E94" s="98"/>
      <c r="F94" s="98"/>
      <c r="G94" s="99"/>
      <c r="H94" s="98"/>
      <c r="I94" s="98"/>
      <c r="J94" s="98"/>
      <c r="K94" s="98"/>
      <c r="L94" s="100"/>
    </row>
    <row r="95" spans="1:75" ht="13.5" customHeight="1" x14ac:dyDescent="0.25">
      <c r="A95" s="28"/>
      <c r="B95" s="29" t="s">
        <v>59</v>
      </c>
      <c r="C95" s="97" t="s">
        <v>230</v>
      </c>
      <c r="D95" s="98"/>
      <c r="E95" s="98"/>
      <c r="F95" s="98"/>
      <c r="G95" s="99"/>
      <c r="H95" s="98"/>
      <c r="I95" s="98"/>
      <c r="J95" s="98"/>
      <c r="K95" s="98"/>
      <c r="L95" s="100"/>
    </row>
    <row r="96" spans="1:75" x14ac:dyDescent="0.25">
      <c r="A96" s="30" t="s">
        <v>48</v>
      </c>
      <c r="B96" s="31" t="s">
        <v>231</v>
      </c>
      <c r="C96" s="93" t="s">
        <v>232</v>
      </c>
      <c r="D96" s="94"/>
      <c r="E96" s="32" t="s">
        <v>4</v>
      </c>
      <c r="F96" s="32" t="s">
        <v>4</v>
      </c>
      <c r="G96" s="89" t="s">
        <v>4</v>
      </c>
      <c r="H96" s="1">
        <f>SUM(H97:H97)</f>
        <v>0</v>
      </c>
      <c r="I96" s="1">
        <f>SUM(I97:I97)</f>
        <v>0</v>
      </c>
      <c r="J96" s="1">
        <f>SUM(J97:J97)</f>
        <v>0</v>
      </c>
      <c r="K96" s="10" t="s">
        <v>48</v>
      </c>
      <c r="L96" s="24"/>
      <c r="AI96" s="10" t="s">
        <v>48</v>
      </c>
      <c r="AS96" s="1">
        <f>SUM(AJ97:AJ97)</f>
        <v>0</v>
      </c>
      <c r="AT96" s="1">
        <f>SUM(AK97:AK97)</f>
        <v>0</v>
      </c>
      <c r="AU96" s="1">
        <f>SUM(AL97:AL97)</f>
        <v>0</v>
      </c>
    </row>
    <row r="97" spans="1:75" ht="27" customHeight="1" x14ac:dyDescent="0.25">
      <c r="A97" s="2" t="s">
        <v>233</v>
      </c>
      <c r="B97" s="3" t="s">
        <v>234</v>
      </c>
      <c r="C97" s="91" t="s">
        <v>235</v>
      </c>
      <c r="D97" s="92"/>
      <c r="E97" s="3" t="s">
        <v>54</v>
      </c>
      <c r="F97" s="25">
        <v>633.6</v>
      </c>
      <c r="G97" s="26">
        <v>0</v>
      </c>
      <c r="H97" s="25">
        <f>F97*AO97</f>
        <v>0</v>
      </c>
      <c r="I97" s="25">
        <f>F97*AP97</f>
        <v>0</v>
      </c>
      <c r="J97" s="25">
        <f>F97*G97</f>
        <v>0</v>
      </c>
      <c r="K97" s="27" t="s">
        <v>55</v>
      </c>
      <c r="L97" s="24"/>
      <c r="Z97" s="25">
        <f>IF(AQ97="5",BJ97,0)</f>
        <v>0</v>
      </c>
      <c r="AB97" s="25">
        <f>IF(AQ97="1",BH97,0)</f>
        <v>0</v>
      </c>
      <c r="AC97" s="25">
        <f>IF(AQ97="1",BI97,0)</f>
        <v>0</v>
      </c>
      <c r="AD97" s="25">
        <f>IF(AQ97="7",BH97,0)</f>
        <v>0</v>
      </c>
      <c r="AE97" s="25">
        <f>IF(AQ97="7",BI97,0)</f>
        <v>0</v>
      </c>
      <c r="AF97" s="25">
        <f>IF(AQ97="2",BH97,0)</f>
        <v>0</v>
      </c>
      <c r="AG97" s="25">
        <f>IF(AQ97="2",BI97,0)</f>
        <v>0</v>
      </c>
      <c r="AH97" s="25">
        <f>IF(AQ97="0",BJ97,0)</f>
        <v>0</v>
      </c>
      <c r="AI97" s="10" t="s">
        <v>48</v>
      </c>
      <c r="AJ97" s="25">
        <f>IF(AN97=0,J97,0)</f>
        <v>0</v>
      </c>
      <c r="AK97" s="25">
        <f>IF(AN97=12,J97,0)</f>
        <v>0</v>
      </c>
      <c r="AL97" s="25">
        <f>IF(AN97=21,J97,0)</f>
        <v>0</v>
      </c>
      <c r="AN97" s="25">
        <v>21</v>
      </c>
      <c r="AO97" s="25">
        <f>G97*0.022893082</f>
        <v>0</v>
      </c>
      <c r="AP97" s="25">
        <f>G97*(1-0.022893082)</f>
        <v>0</v>
      </c>
      <c r="AQ97" s="27" t="s">
        <v>90</v>
      </c>
      <c r="AV97" s="25">
        <f>AW97+AX97</f>
        <v>0</v>
      </c>
      <c r="AW97" s="25">
        <f>F97*AO97</f>
        <v>0</v>
      </c>
      <c r="AX97" s="25">
        <f>F97*AP97</f>
        <v>0</v>
      </c>
      <c r="AY97" s="27" t="s">
        <v>236</v>
      </c>
      <c r="AZ97" s="27" t="s">
        <v>180</v>
      </c>
      <c r="BA97" s="10" t="s">
        <v>58</v>
      </c>
      <c r="BC97" s="25">
        <f>AW97+AX97</f>
        <v>0</v>
      </c>
      <c r="BD97" s="25">
        <f>G97/(100-BE97)*100</f>
        <v>0</v>
      </c>
      <c r="BE97" s="25">
        <v>0</v>
      </c>
      <c r="BF97" s="25">
        <f>97</f>
        <v>97</v>
      </c>
      <c r="BH97" s="25">
        <f>F97*AO97</f>
        <v>0</v>
      </c>
      <c r="BI97" s="25">
        <f>F97*AP97</f>
        <v>0</v>
      </c>
      <c r="BJ97" s="25">
        <f>F97*G97</f>
        <v>0</v>
      </c>
      <c r="BK97" s="25"/>
      <c r="BL97" s="25">
        <v>766</v>
      </c>
      <c r="BW97" s="25">
        <v>21</v>
      </c>
    </row>
    <row r="98" spans="1:75" ht="40.5" customHeight="1" x14ac:dyDescent="0.25">
      <c r="A98" s="28"/>
      <c r="B98" s="29" t="s">
        <v>59</v>
      </c>
      <c r="C98" s="97" t="s">
        <v>237</v>
      </c>
      <c r="D98" s="98"/>
      <c r="E98" s="98"/>
      <c r="F98" s="98"/>
      <c r="G98" s="99"/>
      <c r="H98" s="98"/>
      <c r="I98" s="98"/>
      <c r="J98" s="98"/>
      <c r="K98" s="98"/>
      <c r="L98" s="100"/>
    </row>
    <row r="99" spans="1:75" x14ac:dyDescent="0.25">
      <c r="A99" s="30" t="s">
        <v>48</v>
      </c>
      <c r="B99" s="31" t="s">
        <v>238</v>
      </c>
      <c r="C99" s="93" t="s">
        <v>239</v>
      </c>
      <c r="D99" s="94"/>
      <c r="E99" s="32" t="s">
        <v>4</v>
      </c>
      <c r="F99" s="32" t="s">
        <v>4</v>
      </c>
      <c r="G99" s="89" t="s">
        <v>4</v>
      </c>
      <c r="H99" s="1">
        <f>SUM(H100:H100)</f>
        <v>0</v>
      </c>
      <c r="I99" s="1">
        <f>SUM(I100:I100)</f>
        <v>0</v>
      </c>
      <c r="J99" s="1">
        <f>SUM(J100:J100)</f>
        <v>0</v>
      </c>
      <c r="K99" s="10" t="s">
        <v>48</v>
      </c>
      <c r="L99" s="24"/>
      <c r="AI99" s="10" t="s">
        <v>48</v>
      </c>
      <c r="AS99" s="1">
        <f>SUM(AJ100:AJ100)</f>
        <v>0</v>
      </c>
      <c r="AT99" s="1">
        <f>SUM(AK100:AK100)</f>
        <v>0</v>
      </c>
      <c r="AU99" s="1">
        <f>SUM(AL100:AL100)</f>
        <v>0</v>
      </c>
    </row>
    <row r="100" spans="1:75" ht="13.5" customHeight="1" x14ac:dyDescent="0.25">
      <c r="A100" s="2" t="s">
        <v>240</v>
      </c>
      <c r="B100" s="3" t="s">
        <v>241</v>
      </c>
      <c r="C100" s="91" t="s">
        <v>242</v>
      </c>
      <c r="D100" s="92"/>
      <c r="E100" s="3" t="s">
        <v>243</v>
      </c>
      <c r="F100" s="25">
        <v>750</v>
      </c>
      <c r="G100" s="26">
        <v>0</v>
      </c>
      <c r="H100" s="25">
        <f>F100*AO100</f>
        <v>0</v>
      </c>
      <c r="I100" s="25">
        <f>F100*AP100</f>
        <v>0</v>
      </c>
      <c r="J100" s="25">
        <f>F100*G100</f>
        <v>0</v>
      </c>
      <c r="K100" s="27" t="s">
        <v>55</v>
      </c>
      <c r="L100" s="24"/>
      <c r="Z100" s="25">
        <f>IF(AQ100="5",BJ100,0)</f>
        <v>0</v>
      </c>
      <c r="AB100" s="25">
        <f>IF(AQ100="1",BH100,0)</f>
        <v>0</v>
      </c>
      <c r="AC100" s="25">
        <f>IF(AQ100="1",BI100,0)</f>
        <v>0</v>
      </c>
      <c r="AD100" s="25">
        <f>IF(AQ100="7",BH100,0)</f>
        <v>0</v>
      </c>
      <c r="AE100" s="25">
        <f>IF(AQ100="7",BI100,0)</f>
        <v>0</v>
      </c>
      <c r="AF100" s="25">
        <f>IF(AQ100="2",BH100,0)</f>
        <v>0</v>
      </c>
      <c r="AG100" s="25">
        <f>IF(AQ100="2",BI100,0)</f>
        <v>0</v>
      </c>
      <c r="AH100" s="25">
        <f>IF(AQ100="0",BJ100,0)</f>
        <v>0</v>
      </c>
      <c r="AI100" s="10" t="s">
        <v>48</v>
      </c>
      <c r="AJ100" s="25">
        <f>IF(AN100=0,J100,0)</f>
        <v>0</v>
      </c>
      <c r="AK100" s="25">
        <f>IF(AN100=12,J100,0)</f>
        <v>0</v>
      </c>
      <c r="AL100" s="25">
        <f>IF(AN100=21,J100,0)</f>
        <v>0</v>
      </c>
      <c r="AN100" s="25">
        <v>21</v>
      </c>
      <c r="AO100" s="25">
        <f>G100*0.262118644</f>
        <v>0</v>
      </c>
      <c r="AP100" s="25">
        <f>G100*(1-0.262118644)</f>
        <v>0</v>
      </c>
      <c r="AQ100" s="27" t="s">
        <v>90</v>
      </c>
      <c r="AV100" s="25">
        <f>AW100+AX100</f>
        <v>0</v>
      </c>
      <c r="AW100" s="25">
        <f>F100*AO100</f>
        <v>0</v>
      </c>
      <c r="AX100" s="25">
        <f>F100*AP100</f>
        <v>0</v>
      </c>
      <c r="AY100" s="27" t="s">
        <v>244</v>
      </c>
      <c r="AZ100" s="27" t="s">
        <v>180</v>
      </c>
      <c r="BA100" s="10" t="s">
        <v>58</v>
      </c>
      <c r="BC100" s="25">
        <f>AW100+AX100</f>
        <v>0</v>
      </c>
      <c r="BD100" s="25">
        <f>G100/(100-BE100)*100</f>
        <v>0</v>
      </c>
      <c r="BE100" s="25">
        <v>0</v>
      </c>
      <c r="BF100" s="25">
        <f>100</f>
        <v>100</v>
      </c>
      <c r="BH100" s="25">
        <f>F100*AO100</f>
        <v>0</v>
      </c>
      <c r="BI100" s="25">
        <f>F100*AP100</f>
        <v>0</v>
      </c>
      <c r="BJ100" s="25">
        <f>F100*G100</f>
        <v>0</v>
      </c>
      <c r="BK100" s="25"/>
      <c r="BL100" s="25">
        <v>767</v>
      </c>
      <c r="BW100" s="25">
        <v>21</v>
      </c>
    </row>
    <row r="101" spans="1:75" ht="13.5" customHeight="1" x14ac:dyDescent="0.25">
      <c r="A101" s="28"/>
      <c r="B101" s="29" t="s">
        <v>94</v>
      </c>
      <c r="C101" s="97" t="s">
        <v>245</v>
      </c>
      <c r="D101" s="98"/>
      <c r="E101" s="98"/>
      <c r="F101" s="98"/>
      <c r="G101" s="99"/>
      <c r="H101" s="98"/>
      <c r="I101" s="98"/>
      <c r="J101" s="98"/>
      <c r="K101" s="98"/>
      <c r="L101" s="100"/>
    </row>
    <row r="102" spans="1:75" x14ac:dyDescent="0.25">
      <c r="A102" s="30" t="s">
        <v>48</v>
      </c>
      <c r="B102" s="31" t="s">
        <v>246</v>
      </c>
      <c r="C102" s="93" t="s">
        <v>247</v>
      </c>
      <c r="D102" s="94"/>
      <c r="E102" s="32" t="s">
        <v>4</v>
      </c>
      <c r="F102" s="32" t="s">
        <v>4</v>
      </c>
      <c r="G102" s="89" t="s">
        <v>4</v>
      </c>
      <c r="H102" s="1">
        <f>SUM(H103:H109)</f>
        <v>0</v>
      </c>
      <c r="I102" s="1">
        <f>SUM(I103:I109)</f>
        <v>0</v>
      </c>
      <c r="J102" s="1">
        <f>SUM(J103:J109)</f>
        <v>0</v>
      </c>
      <c r="K102" s="10" t="s">
        <v>48</v>
      </c>
      <c r="L102" s="24"/>
      <c r="AI102" s="10" t="s">
        <v>48</v>
      </c>
      <c r="AS102" s="1">
        <f>SUM(AJ103:AJ109)</f>
        <v>0</v>
      </c>
      <c r="AT102" s="1">
        <f>SUM(AK103:AK109)</f>
        <v>0</v>
      </c>
      <c r="AU102" s="1">
        <f>SUM(AL103:AL109)</f>
        <v>0</v>
      </c>
    </row>
    <row r="103" spans="1:75" ht="27" customHeight="1" x14ac:dyDescent="0.25">
      <c r="A103" s="2" t="s">
        <v>248</v>
      </c>
      <c r="B103" s="3" t="s">
        <v>249</v>
      </c>
      <c r="C103" s="91" t="s">
        <v>250</v>
      </c>
      <c r="D103" s="92"/>
      <c r="E103" s="3" t="s">
        <v>54</v>
      </c>
      <c r="F103" s="25">
        <v>1129.8699999999999</v>
      </c>
      <c r="G103" s="26">
        <v>0</v>
      </c>
      <c r="H103" s="25">
        <f>F103*AO103</f>
        <v>0</v>
      </c>
      <c r="I103" s="25">
        <f>F103*AP103</f>
        <v>0</v>
      </c>
      <c r="J103" s="25">
        <f>F103*G103</f>
        <v>0</v>
      </c>
      <c r="K103" s="27" t="s">
        <v>55</v>
      </c>
      <c r="L103" s="24"/>
      <c r="Z103" s="25">
        <f>IF(AQ103="5",BJ103,0)</f>
        <v>0</v>
      </c>
      <c r="AB103" s="25">
        <f>IF(AQ103="1",BH103,0)</f>
        <v>0</v>
      </c>
      <c r="AC103" s="25">
        <f>IF(AQ103="1",BI103,0)</f>
        <v>0</v>
      </c>
      <c r="AD103" s="25">
        <f>IF(AQ103="7",BH103,0)</f>
        <v>0</v>
      </c>
      <c r="AE103" s="25">
        <f>IF(AQ103="7",BI103,0)</f>
        <v>0</v>
      </c>
      <c r="AF103" s="25">
        <f>IF(AQ103="2",BH103,0)</f>
        <v>0</v>
      </c>
      <c r="AG103" s="25">
        <f>IF(AQ103="2",BI103,0)</f>
        <v>0</v>
      </c>
      <c r="AH103" s="25">
        <f>IF(AQ103="0",BJ103,0)</f>
        <v>0</v>
      </c>
      <c r="AI103" s="10" t="s">
        <v>48</v>
      </c>
      <c r="AJ103" s="25">
        <f>IF(AN103=0,J103,0)</f>
        <v>0</v>
      </c>
      <c r="AK103" s="25">
        <f>IF(AN103=12,J103,0)</f>
        <v>0</v>
      </c>
      <c r="AL103" s="25">
        <f>IF(AN103=21,J103,0)</f>
        <v>0</v>
      </c>
      <c r="AN103" s="25">
        <v>21</v>
      </c>
      <c r="AO103" s="25">
        <f>G103*0.239506166</f>
        <v>0</v>
      </c>
      <c r="AP103" s="25">
        <f>G103*(1-0.239506166)</f>
        <v>0</v>
      </c>
      <c r="AQ103" s="27" t="s">
        <v>90</v>
      </c>
      <c r="AV103" s="25">
        <f>AW103+AX103</f>
        <v>0</v>
      </c>
      <c r="AW103" s="25">
        <f>F103*AO103</f>
        <v>0</v>
      </c>
      <c r="AX103" s="25">
        <f>F103*AP103</f>
        <v>0</v>
      </c>
      <c r="AY103" s="27" t="s">
        <v>251</v>
      </c>
      <c r="AZ103" s="27" t="s">
        <v>252</v>
      </c>
      <c r="BA103" s="10" t="s">
        <v>58</v>
      </c>
      <c r="BC103" s="25">
        <f>AW103+AX103</f>
        <v>0</v>
      </c>
      <c r="BD103" s="25">
        <f>G103/(100-BE103)*100</f>
        <v>0</v>
      </c>
      <c r="BE103" s="25">
        <v>0</v>
      </c>
      <c r="BF103" s="25">
        <f>103</f>
        <v>103</v>
      </c>
      <c r="BH103" s="25">
        <f>F103*AO103</f>
        <v>0</v>
      </c>
      <c r="BI103" s="25">
        <f>F103*AP103</f>
        <v>0</v>
      </c>
      <c r="BJ103" s="25">
        <f>F103*G103</f>
        <v>0</v>
      </c>
      <c r="BK103" s="25"/>
      <c r="BL103" s="25">
        <v>783</v>
      </c>
      <c r="BW103" s="25">
        <v>21</v>
      </c>
    </row>
    <row r="104" spans="1:75" ht="40.5" customHeight="1" x14ac:dyDescent="0.25">
      <c r="A104" s="28"/>
      <c r="B104" s="29" t="s">
        <v>59</v>
      </c>
      <c r="C104" s="97" t="s">
        <v>253</v>
      </c>
      <c r="D104" s="98"/>
      <c r="E104" s="98"/>
      <c r="F104" s="98"/>
      <c r="G104" s="99"/>
      <c r="H104" s="98"/>
      <c r="I104" s="98"/>
      <c r="J104" s="98"/>
      <c r="K104" s="98"/>
      <c r="L104" s="100"/>
    </row>
    <row r="105" spans="1:75" ht="27" customHeight="1" x14ac:dyDescent="0.25">
      <c r="A105" s="2" t="s">
        <v>254</v>
      </c>
      <c r="B105" s="3" t="s">
        <v>255</v>
      </c>
      <c r="C105" s="91" t="s">
        <v>256</v>
      </c>
      <c r="D105" s="92"/>
      <c r="E105" s="3" t="s">
        <v>54</v>
      </c>
      <c r="F105" s="25">
        <v>684.29</v>
      </c>
      <c r="G105" s="26">
        <v>0</v>
      </c>
      <c r="H105" s="25">
        <f>F105*AO105</f>
        <v>0</v>
      </c>
      <c r="I105" s="25">
        <f>F105*AP105</f>
        <v>0</v>
      </c>
      <c r="J105" s="25">
        <f>F105*G105</f>
        <v>0</v>
      </c>
      <c r="K105" s="27" t="s">
        <v>55</v>
      </c>
      <c r="L105" s="24"/>
      <c r="Z105" s="25">
        <f>IF(AQ105="5",BJ105,0)</f>
        <v>0</v>
      </c>
      <c r="AB105" s="25">
        <f>IF(AQ105="1",BH105,0)</f>
        <v>0</v>
      </c>
      <c r="AC105" s="25">
        <f>IF(AQ105="1",BI105,0)</f>
        <v>0</v>
      </c>
      <c r="AD105" s="25">
        <f>IF(AQ105="7",BH105,0)</f>
        <v>0</v>
      </c>
      <c r="AE105" s="25">
        <f>IF(AQ105="7",BI105,0)</f>
        <v>0</v>
      </c>
      <c r="AF105" s="25">
        <f>IF(AQ105="2",BH105,0)</f>
        <v>0</v>
      </c>
      <c r="AG105" s="25">
        <f>IF(AQ105="2",BI105,0)</f>
        <v>0</v>
      </c>
      <c r="AH105" s="25">
        <f>IF(AQ105="0",BJ105,0)</f>
        <v>0</v>
      </c>
      <c r="AI105" s="10" t="s">
        <v>48</v>
      </c>
      <c r="AJ105" s="25">
        <f>IF(AN105=0,J105,0)</f>
        <v>0</v>
      </c>
      <c r="AK105" s="25">
        <f>IF(AN105=12,J105,0)</f>
        <v>0</v>
      </c>
      <c r="AL105" s="25">
        <f>IF(AN105=21,J105,0)</f>
        <v>0</v>
      </c>
      <c r="AN105" s="25">
        <v>21</v>
      </c>
      <c r="AO105" s="25">
        <f>G105*0.400332957</f>
        <v>0</v>
      </c>
      <c r="AP105" s="25">
        <f>G105*(1-0.400332957)</f>
        <v>0</v>
      </c>
      <c r="AQ105" s="27" t="s">
        <v>90</v>
      </c>
      <c r="AV105" s="25">
        <f>AW105+AX105</f>
        <v>0</v>
      </c>
      <c r="AW105" s="25">
        <f>F105*AO105</f>
        <v>0</v>
      </c>
      <c r="AX105" s="25">
        <f>F105*AP105</f>
        <v>0</v>
      </c>
      <c r="AY105" s="27" t="s">
        <v>251</v>
      </c>
      <c r="AZ105" s="27" t="s">
        <v>252</v>
      </c>
      <c r="BA105" s="10" t="s">
        <v>58</v>
      </c>
      <c r="BC105" s="25">
        <f>AW105+AX105</f>
        <v>0</v>
      </c>
      <c r="BD105" s="25">
        <f>G105/(100-BE105)*100</f>
        <v>0</v>
      </c>
      <c r="BE105" s="25">
        <v>0</v>
      </c>
      <c r="BF105" s="25">
        <f>105</f>
        <v>105</v>
      </c>
      <c r="BH105" s="25">
        <f>F105*AO105</f>
        <v>0</v>
      </c>
      <c r="BI105" s="25">
        <f>F105*AP105</f>
        <v>0</v>
      </c>
      <c r="BJ105" s="25">
        <f>F105*G105</f>
        <v>0</v>
      </c>
      <c r="BK105" s="25"/>
      <c r="BL105" s="25">
        <v>783</v>
      </c>
      <c r="BW105" s="25">
        <v>21</v>
      </c>
    </row>
    <row r="106" spans="1:75" ht="13.5" customHeight="1" x14ac:dyDescent="0.25">
      <c r="A106" s="28"/>
      <c r="B106" s="29" t="s">
        <v>94</v>
      </c>
      <c r="C106" s="97" t="s">
        <v>257</v>
      </c>
      <c r="D106" s="98"/>
      <c r="E106" s="98"/>
      <c r="F106" s="98"/>
      <c r="G106" s="99"/>
      <c r="H106" s="98"/>
      <c r="I106" s="98"/>
      <c r="J106" s="98"/>
      <c r="K106" s="98"/>
      <c r="L106" s="100"/>
    </row>
    <row r="107" spans="1:75" ht="13.5" customHeight="1" x14ac:dyDescent="0.25">
      <c r="A107" s="2" t="s">
        <v>258</v>
      </c>
      <c r="B107" s="3" t="s">
        <v>259</v>
      </c>
      <c r="C107" s="91" t="s">
        <v>260</v>
      </c>
      <c r="D107" s="92"/>
      <c r="E107" s="3" t="s">
        <v>54</v>
      </c>
      <c r="F107" s="25">
        <v>889.5</v>
      </c>
      <c r="G107" s="26">
        <v>0</v>
      </c>
      <c r="H107" s="25">
        <f>F107*AO107</f>
        <v>0</v>
      </c>
      <c r="I107" s="25">
        <f>F107*AP107</f>
        <v>0</v>
      </c>
      <c r="J107" s="25">
        <f>F107*G107</f>
        <v>0</v>
      </c>
      <c r="K107" s="27" t="s">
        <v>55</v>
      </c>
      <c r="L107" s="24"/>
      <c r="Z107" s="25">
        <f>IF(AQ107="5",BJ107,0)</f>
        <v>0</v>
      </c>
      <c r="AB107" s="25">
        <f>IF(AQ107="1",BH107,0)</f>
        <v>0</v>
      </c>
      <c r="AC107" s="25">
        <f>IF(AQ107="1",BI107,0)</f>
        <v>0</v>
      </c>
      <c r="AD107" s="25">
        <f>IF(AQ107="7",BH107,0)</f>
        <v>0</v>
      </c>
      <c r="AE107" s="25">
        <f>IF(AQ107="7",BI107,0)</f>
        <v>0</v>
      </c>
      <c r="AF107" s="25">
        <f>IF(AQ107="2",BH107,0)</f>
        <v>0</v>
      </c>
      <c r="AG107" s="25">
        <f>IF(AQ107="2",BI107,0)</f>
        <v>0</v>
      </c>
      <c r="AH107" s="25">
        <f>IF(AQ107="0",BJ107,0)</f>
        <v>0</v>
      </c>
      <c r="AI107" s="10" t="s">
        <v>48</v>
      </c>
      <c r="AJ107" s="25">
        <f>IF(AN107=0,J107,0)</f>
        <v>0</v>
      </c>
      <c r="AK107" s="25">
        <f>IF(AN107=12,J107,0)</f>
        <v>0</v>
      </c>
      <c r="AL107" s="25">
        <f>IF(AN107=21,J107,0)</f>
        <v>0</v>
      </c>
      <c r="AN107" s="25">
        <v>21</v>
      </c>
      <c r="AO107" s="25">
        <f>G107*0.430722154</f>
        <v>0</v>
      </c>
      <c r="AP107" s="25">
        <f>G107*(1-0.430722154)</f>
        <v>0</v>
      </c>
      <c r="AQ107" s="27" t="s">
        <v>90</v>
      </c>
      <c r="AV107" s="25">
        <f>AW107+AX107</f>
        <v>0</v>
      </c>
      <c r="AW107" s="25">
        <f>F107*AO107</f>
        <v>0</v>
      </c>
      <c r="AX107" s="25">
        <f>F107*AP107</f>
        <v>0</v>
      </c>
      <c r="AY107" s="27" t="s">
        <v>251</v>
      </c>
      <c r="AZ107" s="27" t="s">
        <v>252</v>
      </c>
      <c r="BA107" s="10" t="s">
        <v>58</v>
      </c>
      <c r="BC107" s="25">
        <f>AW107+AX107</f>
        <v>0</v>
      </c>
      <c r="BD107" s="25">
        <f>G107/(100-BE107)*100</f>
        <v>0</v>
      </c>
      <c r="BE107" s="25">
        <v>0</v>
      </c>
      <c r="BF107" s="25">
        <f>107</f>
        <v>107</v>
      </c>
      <c r="BH107" s="25">
        <f>F107*AO107</f>
        <v>0</v>
      </c>
      <c r="BI107" s="25">
        <f>F107*AP107</f>
        <v>0</v>
      </c>
      <c r="BJ107" s="25">
        <f>F107*G107</f>
        <v>0</v>
      </c>
      <c r="BK107" s="25"/>
      <c r="BL107" s="25">
        <v>783</v>
      </c>
      <c r="BW107" s="25">
        <v>21</v>
      </c>
    </row>
    <row r="108" spans="1:75" ht="13.5" customHeight="1" x14ac:dyDescent="0.25">
      <c r="A108" s="28"/>
      <c r="B108" s="29" t="s">
        <v>94</v>
      </c>
      <c r="C108" s="97" t="s">
        <v>261</v>
      </c>
      <c r="D108" s="98"/>
      <c r="E108" s="98"/>
      <c r="F108" s="98"/>
      <c r="G108" s="99"/>
      <c r="H108" s="98"/>
      <c r="I108" s="98"/>
      <c r="J108" s="98"/>
      <c r="K108" s="98"/>
      <c r="L108" s="100"/>
    </row>
    <row r="109" spans="1:75" ht="27" customHeight="1" x14ac:dyDescent="0.25">
      <c r="A109" s="2" t="s">
        <v>262</v>
      </c>
      <c r="B109" s="3" t="s">
        <v>263</v>
      </c>
      <c r="C109" s="91" t="s">
        <v>264</v>
      </c>
      <c r="D109" s="92"/>
      <c r="E109" s="3" t="s">
        <v>54</v>
      </c>
      <c r="F109" s="25">
        <v>889.5</v>
      </c>
      <c r="G109" s="26">
        <v>0</v>
      </c>
      <c r="H109" s="25">
        <f>F109*AO109</f>
        <v>0</v>
      </c>
      <c r="I109" s="25">
        <f>F109*AP109</f>
        <v>0</v>
      </c>
      <c r="J109" s="25">
        <f>F109*G109</f>
        <v>0</v>
      </c>
      <c r="K109" s="27" t="s">
        <v>55</v>
      </c>
      <c r="L109" s="24"/>
      <c r="Z109" s="25">
        <f>IF(AQ109="5",BJ109,0)</f>
        <v>0</v>
      </c>
      <c r="AB109" s="25">
        <f>IF(AQ109="1",BH109,0)</f>
        <v>0</v>
      </c>
      <c r="AC109" s="25">
        <f>IF(AQ109="1",BI109,0)</f>
        <v>0</v>
      </c>
      <c r="AD109" s="25">
        <f>IF(AQ109="7",BH109,0)</f>
        <v>0</v>
      </c>
      <c r="AE109" s="25">
        <f>IF(AQ109="7",BI109,0)</f>
        <v>0</v>
      </c>
      <c r="AF109" s="25">
        <f>IF(AQ109="2",BH109,0)</f>
        <v>0</v>
      </c>
      <c r="AG109" s="25">
        <f>IF(AQ109="2",BI109,0)</f>
        <v>0</v>
      </c>
      <c r="AH109" s="25">
        <f>IF(AQ109="0",BJ109,0)</f>
        <v>0</v>
      </c>
      <c r="AI109" s="10" t="s">
        <v>48</v>
      </c>
      <c r="AJ109" s="25">
        <f>IF(AN109=0,J109,0)</f>
        <v>0</v>
      </c>
      <c r="AK109" s="25">
        <f>IF(AN109=12,J109,0)</f>
        <v>0</v>
      </c>
      <c r="AL109" s="25">
        <f>IF(AN109=21,J109,0)</f>
        <v>0</v>
      </c>
      <c r="AN109" s="25">
        <v>21</v>
      </c>
      <c r="AO109" s="25">
        <f>G109*0.489905123</f>
        <v>0</v>
      </c>
      <c r="AP109" s="25">
        <f>G109*(1-0.489905123)</f>
        <v>0</v>
      </c>
      <c r="AQ109" s="27" t="s">
        <v>90</v>
      </c>
      <c r="AV109" s="25">
        <f>AW109+AX109</f>
        <v>0</v>
      </c>
      <c r="AW109" s="25">
        <f>F109*AO109</f>
        <v>0</v>
      </c>
      <c r="AX109" s="25">
        <f>F109*AP109</f>
        <v>0</v>
      </c>
      <c r="AY109" s="27" t="s">
        <v>251</v>
      </c>
      <c r="AZ109" s="27" t="s">
        <v>252</v>
      </c>
      <c r="BA109" s="10" t="s">
        <v>58</v>
      </c>
      <c r="BC109" s="25">
        <f>AW109+AX109</f>
        <v>0</v>
      </c>
      <c r="BD109" s="25">
        <f>G109/(100-BE109)*100</f>
        <v>0</v>
      </c>
      <c r="BE109" s="25">
        <v>0</v>
      </c>
      <c r="BF109" s="25">
        <f>109</f>
        <v>109</v>
      </c>
      <c r="BH109" s="25">
        <f>F109*AO109</f>
        <v>0</v>
      </c>
      <c r="BI109" s="25">
        <f>F109*AP109</f>
        <v>0</v>
      </c>
      <c r="BJ109" s="25">
        <f>F109*G109</f>
        <v>0</v>
      </c>
      <c r="BK109" s="25"/>
      <c r="BL109" s="25">
        <v>783</v>
      </c>
      <c r="BW109" s="25">
        <v>21</v>
      </c>
    </row>
    <row r="110" spans="1:75" ht="27" customHeight="1" x14ac:dyDescent="0.25">
      <c r="A110" s="28"/>
      <c r="B110" s="29" t="s">
        <v>59</v>
      </c>
      <c r="C110" s="97" t="s">
        <v>265</v>
      </c>
      <c r="D110" s="98"/>
      <c r="E110" s="98"/>
      <c r="F110" s="98"/>
      <c r="G110" s="99"/>
      <c r="H110" s="98"/>
      <c r="I110" s="98"/>
      <c r="J110" s="98"/>
      <c r="K110" s="98"/>
      <c r="L110" s="100"/>
    </row>
    <row r="111" spans="1:75" x14ac:dyDescent="0.25">
      <c r="A111" s="30" t="s">
        <v>48</v>
      </c>
      <c r="B111" s="31" t="s">
        <v>266</v>
      </c>
      <c r="C111" s="93" t="s">
        <v>267</v>
      </c>
      <c r="D111" s="94"/>
      <c r="E111" s="32" t="s">
        <v>4</v>
      </c>
      <c r="F111" s="32" t="s">
        <v>4</v>
      </c>
      <c r="G111" s="89" t="s">
        <v>4</v>
      </c>
      <c r="H111" s="1">
        <f>SUM(H112:H112)</f>
        <v>0</v>
      </c>
      <c r="I111" s="1">
        <f>SUM(I112:I112)</f>
        <v>0</v>
      </c>
      <c r="J111" s="1">
        <f>SUM(J112:J112)</f>
        <v>0</v>
      </c>
      <c r="K111" s="10" t="s">
        <v>48</v>
      </c>
      <c r="L111" s="24"/>
      <c r="AI111" s="10" t="s">
        <v>48</v>
      </c>
      <c r="AS111" s="1">
        <f>SUM(AJ112:AJ112)</f>
        <v>0</v>
      </c>
      <c r="AT111" s="1">
        <f>SUM(AK112:AK112)</f>
        <v>0</v>
      </c>
      <c r="AU111" s="1">
        <f>SUM(AL112:AL112)</f>
        <v>0</v>
      </c>
    </row>
    <row r="112" spans="1:75" ht="27" customHeight="1" x14ac:dyDescent="0.25">
      <c r="A112" s="2" t="s">
        <v>268</v>
      </c>
      <c r="B112" s="3" t="s">
        <v>269</v>
      </c>
      <c r="C112" s="91" t="s">
        <v>270</v>
      </c>
      <c r="D112" s="92"/>
      <c r="E112" s="3" t="s">
        <v>178</v>
      </c>
      <c r="F112" s="25">
        <v>37.5</v>
      </c>
      <c r="G112" s="26">
        <v>0</v>
      </c>
      <c r="H112" s="25">
        <f>F112*AO112</f>
        <v>0</v>
      </c>
      <c r="I112" s="25">
        <f>F112*AP112</f>
        <v>0</v>
      </c>
      <c r="J112" s="25">
        <f>F112*G112</f>
        <v>0</v>
      </c>
      <c r="K112" s="27" t="s">
        <v>55</v>
      </c>
      <c r="L112" s="24"/>
      <c r="Z112" s="25">
        <f>IF(AQ112="5",BJ112,0)</f>
        <v>0</v>
      </c>
      <c r="AB112" s="25">
        <f>IF(AQ112="1",BH112,0)</f>
        <v>0</v>
      </c>
      <c r="AC112" s="25">
        <f>IF(AQ112="1",BI112,0)</f>
        <v>0</v>
      </c>
      <c r="AD112" s="25">
        <f>IF(AQ112="7",BH112,0)</f>
        <v>0</v>
      </c>
      <c r="AE112" s="25">
        <f>IF(AQ112="7",BI112,0)</f>
        <v>0</v>
      </c>
      <c r="AF112" s="25">
        <f>IF(AQ112="2",BH112,0)</f>
        <v>0</v>
      </c>
      <c r="AG112" s="25">
        <f>IF(AQ112="2",BI112,0)</f>
        <v>0</v>
      </c>
      <c r="AH112" s="25">
        <f>IF(AQ112="0",BJ112,0)</f>
        <v>0</v>
      </c>
      <c r="AI112" s="10" t="s">
        <v>48</v>
      </c>
      <c r="AJ112" s="25">
        <f>IF(AN112=0,J112,0)</f>
        <v>0</v>
      </c>
      <c r="AK112" s="25">
        <f>IF(AN112=12,J112,0)</f>
        <v>0</v>
      </c>
      <c r="AL112" s="25">
        <f>IF(AN112=21,J112,0)</f>
        <v>0</v>
      </c>
      <c r="AN112" s="25">
        <v>21</v>
      </c>
      <c r="AO112" s="25">
        <f>G112*0.900494624</f>
        <v>0</v>
      </c>
      <c r="AP112" s="25">
        <f>G112*(1-0.900494624)</f>
        <v>0</v>
      </c>
      <c r="AQ112" s="27" t="s">
        <v>51</v>
      </c>
      <c r="AV112" s="25">
        <f>AW112+AX112</f>
        <v>0</v>
      </c>
      <c r="AW112" s="25">
        <f>F112*AO112</f>
        <v>0</v>
      </c>
      <c r="AX112" s="25">
        <f>F112*AP112</f>
        <v>0</v>
      </c>
      <c r="AY112" s="27" t="s">
        <v>271</v>
      </c>
      <c r="AZ112" s="27" t="s">
        <v>272</v>
      </c>
      <c r="BA112" s="10" t="s">
        <v>58</v>
      </c>
      <c r="BC112" s="25">
        <f>AW112+AX112</f>
        <v>0</v>
      </c>
      <c r="BD112" s="25">
        <f>G112/(100-BE112)*100</f>
        <v>0</v>
      </c>
      <c r="BE112" s="25">
        <v>0</v>
      </c>
      <c r="BF112" s="25">
        <f>112</f>
        <v>112</v>
      </c>
      <c r="BH112" s="25">
        <f>F112*AO112</f>
        <v>0</v>
      </c>
      <c r="BI112" s="25">
        <f>F112*AP112</f>
        <v>0</v>
      </c>
      <c r="BJ112" s="25">
        <f>F112*G112</f>
        <v>0</v>
      </c>
      <c r="BK112" s="25"/>
      <c r="BL112" s="25">
        <v>84</v>
      </c>
      <c r="BW112" s="25">
        <v>21</v>
      </c>
    </row>
    <row r="113" spans="1:75" x14ac:dyDescent="0.25">
      <c r="A113" s="30" t="s">
        <v>48</v>
      </c>
      <c r="B113" s="31" t="s">
        <v>273</v>
      </c>
      <c r="C113" s="93" t="s">
        <v>274</v>
      </c>
      <c r="D113" s="94"/>
      <c r="E113" s="32" t="s">
        <v>4</v>
      </c>
      <c r="F113" s="32" t="s">
        <v>4</v>
      </c>
      <c r="G113" s="89" t="s">
        <v>4</v>
      </c>
      <c r="H113" s="1">
        <f>SUM(H114:H114)</f>
        <v>0</v>
      </c>
      <c r="I113" s="1">
        <f>SUM(I114:I114)</f>
        <v>0</v>
      </c>
      <c r="J113" s="1">
        <f>SUM(J114:J114)</f>
        <v>0</v>
      </c>
      <c r="K113" s="10" t="s">
        <v>48</v>
      </c>
      <c r="L113" s="24"/>
      <c r="AI113" s="10" t="s">
        <v>48</v>
      </c>
      <c r="AS113" s="1">
        <f>SUM(AJ114:AJ114)</f>
        <v>0</v>
      </c>
      <c r="AT113" s="1">
        <f>SUM(AK114:AK114)</f>
        <v>0</v>
      </c>
      <c r="AU113" s="1">
        <f>SUM(AL114:AL114)</f>
        <v>0</v>
      </c>
    </row>
    <row r="114" spans="1:75" ht="27" customHeight="1" x14ac:dyDescent="0.25">
      <c r="A114" s="2" t="s">
        <v>275</v>
      </c>
      <c r="B114" s="3" t="s">
        <v>276</v>
      </c>
      <c r="C114" s="91" t="s">
        <v>277</v>
      </c>
      <c r="D114" s="92"/>
      <c r="E114" s="3" t="s">
        <v>178</v>
      </c>
      <c r="F114" s="25">
        <v>97.65</v>
      </c>
      <c r="G114" s="26">
        <v>0</v>
      </c>
      <c r="H114" s="25">
        <f>F114*AO114</f>
        <v>0</v>
      </c>
      <c r="I114" s="25">
        <f>F114*AP114</f>
        <v>0</v>
      </c>
      <c r="J114" s="25">
        <f>F114*G114</f>
        <v>0</v>
      </c>
      <c r="K114" s="27" t="s">
        <v>55</v>
      </c>
      <c r="L114" s="24"/>
      <c r="Z114" s="25">
        <f>IF(AQ114="5",BJ114,0)</f>
        <v>0</v>
      </c>
      <c r="AB114" s="25">
        <f>IF(AQ114="1",BH114,0)</f>
        <v>0</v>
      </c>
      <c r="AC114" s="25">
        <f>IF(AQ114="1",BI114,0)</f>
        <v>0</v>
      </c>
      <c r="AD114" s="25">
        <f>IF(AQ114="7",BH114,0)</f>
        <v>0</v>
      </c>
      <c r="AE114" s="25">
        <f>IF(AQ114="7",BI114,0)</f>
        <v>0</v>
      </c>
      <c r="AF114" s="25">
        <f>IF(AQ114="2",BH114,0)</f>
        <v>0</v>
      </c>
      <c r="AG114" s="25">
        <f>IF(AQ114="2",BI114,0)</f>
        <v>0</v>
      </c>
      <c r="AH114" s="25">
        <f>IF(AQ114="0",BJ114,0)</f>
        <v>0</v>
      </c>
      <c r="AI114" s="10" t="s">
        <v>48</v>
      </c>
      <c r="AJ114" s="25">
        <f>IF(AN114=0,J114,0)</f>
        <v>0</v>
      </c>
      <c r="AK114" s="25">
        <f>IF(AN114=12,J114,0)</f>
        <v>0</v>
      </c>
      <c r="AL114" s="25">
        <f>IF(AN114=21,J114,0)</f>
        <v>0</v>
      </c>
      <c r="AN114" s="25">
        <v>21</v>
      </c>
      <c r="AO114" s="25">
        <f>G114*0.255440642</f>
        <v>0</v>
      </c>
      <c r="AP114" s="25">
        <f>G114*(1-0.255440642)</f>
        <v>0</v>
      </c>
      <c r="AQ114" s="27" t="s">
        <v>51</v>
      </c>
      <c r="AV114" s="25">
        <f>AW114+AX114</f>
        <v>0</v>
      </c>
      <c r="AW114" s="25">
        <f>F114*AO114</f>
        <v>0</v>
      </c>
      <c r="AX114" s="25">
        <f>F114*AP114</f>
        <v>0</v>
      </c>
      <c r="AY114" s="27" t="s">
        <v>278</v>
      </c>
      <c r="AZ114" s="27" t="s">
        <v>279</v>
      </c>
      <c r="BA114" s="10" t="s">
        <v>58</v>
      </c>
      <c r="BC114" s="25">
        <f>AW114+AX114</f>
        <v>0</v>
      </c>
      <c r="BD114" s="25">
        <f>G114/(100-BE114)*100</f>
        <v>0</v>
      </c>
      <c r="BE114" s="25">
        <v>0</v>
      </c>
      <c r="BF114" s="25">
        <f>114</f>
        <v>114</v>
      </c>
      <c r="BH114" s="25">
        <f>F114*AO114</f>
        <v>0</v>
      </c>
      <c r="BI114" s="25">
        <f>F114*AP114</f>
        <v>0</v>
      </c>
      <c r="BJ114" s="25">
        <f>F114*G114</f>
        <v>0</v>
      </c>
      <c r="BK114" s="25"/>
      <c r="BL114" s="25">
        <v>93</v>
      </c>
      <c r="BW114" s="25">
        <v>21</v>
      </c>
    </row>
    <row r="115" spans="1:75" x14ac:dyDescent="0.25">
      <c r="A115" s="30" t="s">
        <v>48</v>
      </c>
      <c r="B115" s="31" t="s">
        <v>280</v>
      </c>
      <c r="C115" s="93" t="s">
        <v>281</v>
      </c>
      <c r="D115" s="94"/>
      <c r="E115" s="32" t="s">
        <v>4</v>
      </c>
      <c r="F115" s="32" t="s">
        <v>4</v>
      </c>
      <c r="G115" s="89" t="s">
        <v>4</v>
      </c>
      <c r="H115" s="1">
        <f>SUM(H116:H119)</f>
        <v>0</v>
      </c>
      <c r="I115" s="1">
        <f>SUM(I116:I119)</f>
        <v>0</v>
      </c>
      <c r="J115" s="1">
        <f>SUM(J116:J119)</f>
        <v>0</v>
      </c>
      <c r="K115" s="10" t="s">
        <v>48</v>
      </c>
      <c r="L115" s="24"/>
      <c r="AI115" s="10" t="s">
        <v>48</v>
      </c>
      <c r="AS115" s="1">
        <f>SUM(AJ116:AJ119)</f>
        <v>0</v>
      </c>
      <c r="AT115" s="1">
        <f>SUM(AK116:AK119)</f>
        <v>0</v>
      </c>
      <c r="AU115" s="1">
        <f>SUM(AL116:AL119)</f>
        <v>0</v>
      </c>
    </row>
    <row r="116" spans="1:75" ht="27" customHeight="1" x14ac:dyDescent="0.25">
      <c r="A116" s="2" t="s">
        <v>282</v>
      </c>
      <c r="B116" s="3" t="s">
        <v>283</v>
      </c>
      <c r="C116" s="91" t="s">
        <v>284</v>
      </c>
      <c r="D116" s="92"/>
      <c r="E116" s="3" t="s">
        <v>54</v>
      </c>
      <c r="F116" s="25">
        <v>2800</v>
      </c>
      <c r="G116" s="26">
        <v>0</v>
      </c>
      <c r="H116" s="25">
        <f>F116*AO116</f>
        <v>0</v>
      </c>
      <c r="I116" s="25">
        <f>F116*AP116</f>
        <v>0</v>
      </c>
      <c r="J116" s="25">
        <f>F116*G116</f>
        <v>0</v>
      </c>
      <c r="K116" s="27" t="s">
        <v>55</v>
      </c>
      <c r="L116" s="24"/>
      <c r="Z116" s="25">
        <f>IF(AQ116="5",BJ116,0)</f>
        <v>0</v>
      </c>
      <c r="AB116" s="25">
        <f>IF(AQ116="1",BH116,0)</f>
        <v>0</v>
      </c>
      <c r="AC116" s="25">
        <f>IF(AQ116="1",BI116,0)</f>
        <v>0</v>
      </c>
      <c r="AD116" s="25">
        <f>IF(AQ116="7",BH116,0)</f>
        <v>0</v>
      </c>
      <c r="AE116" s="25">
        <f>IF(AQ116="7",BI116,0)</f>
        <v>0</v>
      </c>
      <c r="AF116" s="25">
        <f>IF(AQ116="2",BH116,0)</f>
        <v>0</v>
      </c>
      <c r="AG116" s="25">
        <f>IF(AQ116="2",BI116,0)</f>
        <v>0</v>
      </c>
      <c r="AH116" s="25">
        <f>IF(AQ116="0",BJ116,0)</f>
        <v>0</v>
      </c>
      <c r="AI116" s="10" t="s">
        <v>48</v>
      </c>
      <c r="AJ116" s="25">
        <f>IF(AN116=0,J116,0)</f>
        <v>0</v>
      </c>
      <c r="AK116" s="25">
        <f>IF(AN116=12,J116,0)</f>
        <v>0</v>
      </c>
      <c r="AL116" s="25">
        <f>IF(AN116=21,J116,0)</f>
        <v>0</v>
      </c>
      <c r="AN116" s="25">
        <v>21</v>
      </c>
      <c r="AO116" s="25">
        <f>G116*0</f>
        <v>0</v>
      </c>
      <c r="AP116" s="25">
        <f>G116*(1-0)</f>
        <v>0</v>
      </c>
      <c r="AQ116" s="27" t="s">
        <v>51</v>
      </c>
      <c r="AV116" s="25">
        <f>AW116+AX116</f>
        <v>0</v>
      </c>
      <c r="AW116" s="25">
        <f>F116*AO116</f>
        <v>0</v>
      </c>
      <c r="AX116" s="25">
        <f>F116*AP116</f>
        <v>0</v>
      </c>
      <c r="AY116" s="27" t="s">
        <v>285</v>
      </c>
      <c r="AZ116" s="27" t="s">
        <v>279</v>
      </c>
      <c r="BA116" s="10" t="s">
        <v>58</v>
      </c>
      <c r="BC116" s="25">
        <f>AW116+AX116</f>
        <v>0</v>
      </c>
      <c r="BD116" s="25">
        <f>G116/(100-BE116)*100</f>
        <v>0</v>
      </c>
      <c r="BE116" s="25">
        <v>0</v>
      </c>
      <c r="BF116" s="25">
        <f>116</f>
        <v>116</v>
      </c>
      <c r="BH116" s="25">
        <f>F116*AO116</f>
        <v>0</v>
      </c>
      <c r="BI116" s="25">
        <f>F116*AP116</f>
        <v>0</v>
      </c>
      <c r="BJ116" s="25">
        <f>F116*G116</f>
        <v>0</v>
      </c>
      <c r="BK116" s="25"/>
      <c r="BL116" s="25">
        <v>94</v>
      </c>
      <c r="BW116" s="25">
        <v>21</v>
      </c>
    </row>
    <row r="117" spans="1:75" ht="13.5" customHeight="1" x14ac:dyDescent="0.25">
      <c r="A117" s="28"/>
      <c r="B117" s="29" t="s">
        <v>94</v>
      </c>
      <c r="C117" s="97" t="s">
        <v>286</v>
      </c>
      <c r="D117" s="98"/>
      <c r="E117" s="98"/>
      <c r="F117" s="98"/>
      <c r="G117" s="99"/>
      <c r="H117" s="98"/>
      <c r="I117" s="98"/>
      <c r="J117" s="98"/>
      <c r="K117" s="98"/>
      <c r="L117" s="100"/>
    </row>
    <row r="118" spans="1:75" ht="13.5" customHeight="1" x14ac:dyDescent="0.25">
      <c r="A118" s="28"/>
      <c r="B118" s="29" t="s">
        <v>59</v>
      </c>
      <c r="C118" s="97" t="s">
        <v>287</v>
      </c>
      <c r="D118" s="98"/>
      <c r="E118" s="98"/>
      <c r="F118" s="98"/>
      <c r="G118" s="99"/>
      <c r="H118" s="98"/>
      <c r="I118" s="98"/>
      <c r="J118" s="98"/>
      <c r="K118" s="98"/>
      <c r="L118" s="100"/>
    </row>
    <row r="119" spans="1:75" ht="27" customHeight="1" x14ac:dyDescent="0.25">
      <c r="A119" s="2" t="s">
        <v>288</v>
      </c>
      <c r="B119" s="3" t="s">
        <v>289</v>
      </c>
      <c r="C119" s="91" t="s">
        <v>290</v>
      </c>
      <c r="D119" s="92"/>
      <c r="E119" s="3" t="s">
        <v>54</v>
      </c>
      <c r="F119" s="25">
        <v>2800</v>
      </c>
      <c r="G119" s="26">
        <v>0</v>
      </c>
      <c r="H119" s="25">
        <f>F119*AO119</f>
        <v>0</v>
      </c>
      <c r="I119" s="25">
        <f>F119*AP119</f>
        <v>0</v>
      </c>
      <c r="J119" s="25">
        <f>F119*G119</f>
        <v>0</v>
      </c>
      <c r="K119" s="27" t="s">
        <v>55</v>
      </c>
      <c r="L119" s="24"/>
      <c r="Z119" s="25">
        <f>IF(AQ119="5",BJ119,0)</f>
        <v>0</v>
      </c>
      <c r="AB119" s="25">
        <f>IF(AQ119="1",BH119,0)</f>
        <v>0</v>
      </c>
      <c r="AC119" s="25">
        <f>IF(AQ119="1",BI119,0)</f>
        <v>0</v>
      </c>
      <c r="AD119" s="25">
        <f>IF(AQ119="7",BH119,0)</f>
        <v>0</v>
      </c>
      <c r="AE119" s="25">
        <f>IF(AQ119="7",BI119,0)</f>
        <v>0</v>
      </c>
      <c r="AF119" s="25">
        <f>IF(AQ119="2",BH119,0)</f>
        <v>0</v>
      </c>
      <c r="AG119" s="25">
        <f>IF(AQ119="2",BI119,0)</f>
        <v>0</v>
      </c>
      <c r="AH119" s="25">
        <f>IF(AQ119="0",BJ119,0)</f>
        <v>0</v>
      </c>
      <c r="AI119" s="10" t="s">
        <v>48</v>
      </c>
      <c r="AJ119" s="25">
        <f>IF(AN119=0,J119,0)</f>
        <v>0</v>
      </c>
      <c r="AK119" s="25">
        <f>IF(AN119=12,J119,0)</f>
        <v>0</v>
      </c>
      <c r="AL119" s="25">
        <f>IF(AN119=21,J119,0)</f>
        <v>0</v>
      </c>
      <c r="AN119" s="25">
        <v>21</v>
      </c>
      <c r="AO119" s="25">
        <f>G119*0</f>
        <v>0</v>
      </c>
      <c r="AP119" s="25">
        <f>G119*(1-0)</f>
        <v>0</v>
      </c>
      <c r="AQ119" s="27" t="s">
        <v>51</v>
      </c>
      <c r="AV119" s="25">
        <f>AW119+AX119</f>
        <v>0</v>
      </c>
      <c r="AW119" s="25">
        <f>F119*AO119</f>
        <v>0</v>
      </c>
      <c r="AX119" s="25">
        <f>F119*AP119</f>
        <v>0</v>
      </c>
      <c r="AY119" s="27" t="s">
        <v>285</v>
      </c>
      <c r="AZ119" s="27" t="s">
        <v>279</v>
      </c>
      <c r="BA119" s="10" t="s">
        <v>58</v>
      </c>
      <c r="BC119" s="25">
        <f>AW119+AX119</f>
        <v>0</v>
      </c>
      <c r="BD119" s="25">
        <f>G119/(100-BE119)*100</f>
        <v>0</v>
      </c>
      <c r="BE119" s="25">
        <v>0</v>
      </c>
      <c r="BF119" s="25">
        <f>119</f>
        <v>119</v>
      </c>
      <c r="BH119" s="25">
        <f>F119*AO119</f>
        <v>0</v>
      </c>
      <c r="BI119" s="25">
        <f>F119*AP119</f>
        <v>0</v>
      </c>
      <c r="BJ119" s="25">
        <f>F119*G119</f>
        <v>0</v>
      </c>
      <c r="BK119" s="25"/>
      <c r="BL119" s="25">
        <v>94</v>
      </c>
      <c r="BW119" s="25">
        <v>21</v>
      </c>
    </row>
    <row r="120" spans="1:75" ht="13.5" customHeight="1" x14ac:dyDescent="0.25">
      <c r="A120" s="28"/>
      <c r="B120" s="29" t="s">
        <v>94</v>
      </c>
      <c r="C120" s="97" t="s">
        <v>286</v>
      </c>
      <c r="D120" s="98"/>
      <c r="E120" s="98"/>
      <c r="F120" s="98"/>
      <c r="G120" s="99"/>
      <c r="H120" s="98"/>
      <c r="I120" s="98"/>
      <c r="J120" s="98"/>
      <c r="K120" s="98"/>
      <c r="L120" s="100"/>
    </row>
    <row r="121" spans="1:75" ht="13.5" customHeight="1" x14ac:dyDescent="0.25">
      <c r="A121" s="28"/>
      <c r="B121" s="29" t="s">
        <v>59</v>
      </c>
      <c r="C121" s="97" t="s">
        <v>291</v>
      </c>
      <c r="D121" s="98"/>
      <c r="E121" s="98"/>
      <c r="F121" s="98"/>
      <c r="G121" s="99"/>
      <c r="H121" s="98"/>
      <c r="I121" s="98"/>
      <c r="J121" s="98"/>
      <c r="K121" s="98"/>
      <c r="L121" s="100"/>
    </row>
    <row r="122" spans="1:75" x14ac:dyDescent="0.25">
      <c r="A122" s="30" t="s">
        <v>48</v>
      </c>
      <c r="B122" s="31" t="s">
        <v>292</v>
      </c>
      <c r="C122" s="93" t="s">
        <v>293</v>
      </c>
      <c r="D122" s="94"/>
      <c r="E122" s="32" t="s">
        <v>4</v>
      </c>
      <c r="F122" s="32" t="s">
        <v>4</v>
      </c>
      <c r="G122" s="89" t="s">
        <v>4</v>
      </c>
      <c r="H122" s="1">
        <f>SUM(H123:H123)</f>
        <v>0</v>
      </c>
      <c r="I122" s="1">
        <f>SUM(I123:I123)</f>
        <v>0</v>
      </c>
      <c r="J122" s="1">
        <f>SUM(J123:J123)</f>
        <v>0</v>
      </c>
      <c r="K122" s="10" t="s">
        <v>48</v>
      </c>
      <c r="L122" s="24"/>
      <c r="AI122" s="10" t="s">
        <v>48</v>
      </c>
      <c r="AS122" s="1">
        <f>SUM(AJ123:AJ123)</f>
        <v>0</v>
      </c>
      <c r="AT122" s="1">
        <f>SUM(AK123:AK123)</f>
        <v>0</v>
      </c>
      <c r="AU122" s="1">
        <f>SUM(AL123:AL123)</f>
        <v>0</v>
      </c>
    </row>
    <row r="123" spans="1:75" ht="27" customHeight="1" x14ac:dyDescent="0.25">
      <c r="A123" s="2" t="s">
        <v>294</v>
      </c>
      <c r="B123" s="3" t="s">
        <v>295</v>
      </c>
      <c r="C123" s="91" t="s">
        <v>296</v>
      </c>
      <c r="D123" s="92"/>
      <c r="E123" s="3" t="s">
        <v>93</v>
      </c>
      <c r="F123" s="25">
        <v>3257</v>
      </c>
      <c r="G123" s="26">
        <v>0</v>
      </c>
      <c r="H123" s="25">
        <f>F123*AO123</f>
        <v>0</v>
      </c>
      <c r="I123" s="25">
        <f>F123*AP123</f>
        <v>0</v>
      </c>
      <c r="J123" s="25">
        <f>F123*G123</f>
        <v>0</v>
      </c>
      <c r="K123" s="27" t="s">
        <v>55</v>
      </c>
      <c r="L123" s="24"/>
      <c r="Z123" s="25">
        <f>IF(AQ123="5",BJ123,0)</f>
        <v>0</v>
      </c>
      <c r="AB123" s="25">
        <f>IF(AQ123="1",BH123,0)</f>
        <v>0</v>
      </c>
      <c r="AC123" s="25">
        <f>IF(AQ123="1",BI123,0)</f>
        <v>0</v>
      </c>
      <c r="AD123" s="25">
        <f>IF(AQ123="7",BH123,0)</f>
        <v>0</v>
      </c>
      <c r="AE123" s="25">
        <f>IF(AQ123="7",BI123,0)</f>
        <v>0</v>
      </c>
      <c r="AF123" s="25">
        <f>IF(AQ123="2",BH123,0)</f>
        <v>0</v>
      </c>
      <c r="AG123" s="25">
        <f>IF(AQ123="2",BI123,0)</f>
        <v>0</v>
      </c>
      <c r="AH123" s="25">
        <f>IF(AQ123="0",BJ123,0)</f>
        <v>0</v>
      </c>
      <c r="AI123" s="10" t="s">
        <v>48</v>
      </c>
      <c r="AJ123" s="25">
        <f>IF(AN123=0,J123,0)</f>
        <v>0</v>
      </c>
      <c r="AK123" s="25">
        <f>IF(AN123=12,J123,0)</f>
        <v>0</v>
      </c>
      <c r="AL123" s="25">
        <f>IF(AN123=21,J123,0)</f>
        <v>0</v>
      </c>
      <c r="AN123" s="25">
        <v>21</v>
      </c>
      <c r="AO123" s="25">
        <f>G123*0</f>
        <v>0</v>
      </c>
      <c r="AP123" s="25">
        <f>G123*(1-0)</f>
        <v>0</v>
      </c>
      <c r="AQ123" s="27" t="s">
        <v>81</v>
      </c>
      <c r="AV123" s="25">
        <f>AW123+AX123</f>
        <v>0</v>
      </c>
      <c r="AW123" s="25">
        <f>F123*AO123</f>
        <v>0</v>
      </c>
      <c r="AX123" s="25">
        <f>F123*AP123</f>
        <v>0</v>
      </c>
      <c r="AY123" s="27" t="s">
        <v>297</v>
      </c>
      <c r="AZ123" s="27" t="s">
        <v>279</v>
      </c>
      <c r="BA123" s="10" t="s">
        <v>58</v>
      </c>
      <c r="BC123" s="25">
        <f>AW123+AX123</f>
        <v>0</v>
      </c>
      <c r="BD123" s="25">
        <f>G123/(100-BE123)*100</f>
        <v>0</v>
      </c>
      <c r="BE123" s="25">
        <v>0</v>
      </c>
      <c r="BF123" s="25">
        <f>123</f>
        <v>123</v>
      </c>
      <c r="BH123" s="25">
        <f>F123*AO123</f>
        <v>0</v>
      </c>
      <c r="BI123" s="25">
        <f>F123*AP123</f>
        <v>0</v>
      </c>
      <c r="BJ123" s="25">
        <f>F123*G123</f>
        <v>0</v>
      </c>
      <c r="BK123" s="25"/>
      <c r="BL123" s="25"/>
      <c r="BW123" s="25">
        <v>21</v>
      </c>
    </row>
    <row r="124" spans="1:75" x14ac:dyDescent="0.25">
      <c r="A124" s="30" t="s">
        <v>48</v>
      </c>
      <c r="B124" s="31" t="s">
        <v>298</v>
      </c>
      <c r="C124" s="93" t="s">
        <v>136</v>
      </c>
      <c r="D124" s="94"/>
      <c r="E124" s="32" t="s">
        <v>4</v>
      </c>
      <c r="F124" s="32" t="s">
        <v>4</v>
      </c>
      <c r="G124" s="89" t="s">
        <v>4</v>
      </c>
      <c r="H124" s="1">
        <f>SUM(H125:H125)</f>
        <v>0</v>
      </c>
      <c r="I124" s="1">
        <f>SUM(I125:I125)</f>
        <v>0</v>
      </c>
      <c r="J124" s="1">
        <f>SUM(J125:J125)</f>
        <v>0</v>
      </c>
      <c r="K124" s="10" t="s">
        <v>48</v>
      </c>
      <c r="L124" s="24"/>
      <c r="AI124" s="10" t="s">
        <v>48</v>
      </c>
      <c r="AS124" s="1">
        <f>SUM(AJ125:AJ125)</f>
        <v>0</v>
      </c>
      <c r="AT124" s="1">
        <f>SUM(AK125:AK125)</f>
        <v>0</v>
      </c>
      <c r="AU124" s="1">
        <f>SUM(AL125:AL125)</f>
        <v>0</v>
      </c>
    </row>
    <row r="125" spans="1:75" ht="27" customHeight="1" x14ac:dyDescent="0.25">
      <c r="A125" s="2" t="s">
        <v>299</v>
      </c>
      <c r="B125" s="3" t="s">
        <v>300</v>
      </c>
      <c r="C125" s="91" t="s">
        <v>301</v>
      </c>
      <c r="D125" s="92"/>
      <c r="E125" s="3" t="s">
        <v>93</v>
      </c>
      <c r="F125" s="25">
        <v>14.5</v>
      </c>
      <c r="G125" s="26">
        <v>0</v>
      </c>
      <c r="H125" s="25">
        <f>F125*AO125</f>
        <v>0</v>
      </c>
      <c r="I125" s="25">
        <f>F125*AP125</f>
        <v>0</v>
      </c>
      <c r="J125" s="25">
        <f>F125*G125</f>
        <v>0</v>
      </c>
      <c r="K125" s="27" t="s">
        <v>55</v>
      </c>
      <c r="L125" s="24"/>
      <c r="Z125" s="25">
        <f>IF(AQ125="5",BJ125,0)</f>
        <v>0</v>
      </c>
      <c r="AB125" s="25">
        <f>IF(AQ125="1",BH125,0)</f>
        <v>0</v>
      </c>
      <c r="AC125" s="25">
        <f>IF(AQ125="1",BI125,0)</f>
        <v>0</v>
      </c>
      <c r="AD125" s="25">
        <f>IF(AQ125="7",BH125,0)</f>
        <v>0</v>
      </c>
      <c r="AE125" s="25">
        <f>IF(AQ125="7",BI125,0)</f>
        <v>0</v>
      </c>
      <c r="AF125" s="25">
        <f>IF(AQ125="2",BH125,0)</f>
        <v>0</v>
      </c>
      <c r="AG125" s="25">
        <f>IF(AQ125="2",BI125,0)</f>
        <v>0</v>
      </c>
      <c r="AH125" s="25">
        <f>IF(AQ125="0",BJ125,0)</f>
        <v>0</v>
      </c>
      <c r="AI125" s="10" t="s">
        <v>48</v>
      </c>
      <c r="AJ125" s="25">
        <f>IF(AN125=0,J125,0)</f>
        <v>0</v>
      </c>
      <c r="AK125" s="25">
        <f>IF(AN125=12,J125,0)</f>
        <v>0</v>
      </c>
      <c r="AL125" s="25">
        <f>IF(AN125=21,J125,0)</f>
        <v>0</v>
      </c>
      <c r="AN125" s="25">
        <v>21</v>
      </c>
      <c r="AO125" s="25">
        <f>G125*0</f>
        <v>0</v>
      </c>
      <c r="AP125" s="25">
        <f>G125*(1-0)</f>
        <v>0</v>
      </c>
      <c r="AQ125" s="27" t="s">
        <v>81</v>
      </c>
      <c r="AV125" s="25">
        <f>AW125+AX125</f>
        <v>0</v>
      </c>
      <c r="AW125" s="25">
        <f>F125*AO125</f>
        <v>0</v>
      </c>
      <c r="AX125" s="25">
        <f>F125*AP125</f>
        <v>0</v>
      </c>
      <c r="AY125" s="27" t="s">
        <v>302</v>
      </c>
      <c r="AZ125" s="27" t="s">
        <v>279</v>
      </c>
      <c r="BA125" s="10" t="s">
        <v>58</v>
      </c>
      <c r="BC125" s="25">
        <f>AW125+AX125</f>
        <v>0</v>
      </c>
      <c r="BD125" s="25">
        <f>G125/(100-BE125)*100</f>
        <v>0</v>
      </c>
      <c r="BE125" s="25">
        <v>0</v>
      </c>
      <c r="BF125" s="25">
        <f>125</f>
        <v>125</v>
      </c>
      <c r="BH125" s="25">
        <f>F125*AO125</f>
        <v>0</v>
      </c>
      <c r="BI125" s="25">
        <f>F125*AP125</f>
        <v>0</v>
      </c>
      <c r="BJ125" s="25">
        <f>F125*G125</f>
        <v>0</v>
      </c>
      <c r="BK125" s="25"/>
      <c r="BL125" s="25"/>
      <c r="BW125" s="25">
        <v>21</v>
      </c>
    </row>
    <row r="126" spans="1:75" x14ac:dyDescent="0.25">
      <c r="A126" s="30" t="s">
        <v>48</v>
      </c>
      <c r="B126" s="31" t="s">
        <v>48</v>
      </c>
      <c r="C126" s="93" t="s">
        <v>303</v>
      </c>
      <c r="D126" s="94"/>
      <c r="E126" s="32" t="s">
        <v>4</v>
      </c>
      <c r="F126" s="32" t="s">
        <v>4</v>
      </c>
      <c r="G126" s="89" t="s">
        <v>4</v>
      </c>
      <c r="H126" s="1">
        <f>SUM(H127:H142)</f>
        <v>0</v>
      </c>
      <c r="I126" s="1">
        <f>SUM(I127:I142)</f>
        <v>0</v>
      </c>
      <c r="J126" s="1">
        <f>SUM(J127:J142)</f>
        <v>0</v>
      </c>
      <c r="K126" s="10" t="s">
        <v>48</v>
      </c>
      <c r="L126" s="24"/>
      <c r="AI126" s="10" t="s">
        <v>48</v>
      </c>
      <c r="AS126" s="1">
        <f>SUM(AJ127:AJ142)</f>
        <v>0</v>
      </c>
      <c r="AT126" s="1">
        <f>SUM(AK127:AK142)</f>
        <v>0</v>
      </c>
      <c r="AU126" s="1">
        <f>SUM(AL127:AL142)</f>
        <v>0</v>
      </c>
    </row>
    <row r="127" spans="1:75" ht="27" customHeight="1" x14ac:dyDescent="0.25">
      <c r="A127" s="2" t="s">
        <v>304</v>
      </c>
      <c r="B127" s="3" t="s">
        <v>305</v>
      </c>
      <c r="C127" s="91" t="s">
        <v>306</v>
      </c>
      <c r="D127" s="92"/>
      <c r="E127" s="3" t="s">
        <v>70</v>
      </c>
      <c r="F127" s="25">
        <v>687.05</v>
      </c>
      <c r="G127" s="26">
        <v>0</v>
      </c>
      <c r="H127" s="25">
        <f>F127*AO127</f>
        <v>0</v>
      </c>
      <c r="I127" s="25">
        <f>F127*AP127</f>
        <v>0</v>
      </c>
      <c r="J127" s="25">
        <f>F127*G127</f>
        <v>0</v>
      </c>
      <c r="K127" s="27" t="s">
        <v>55</v>
      </c>
      <c r="L127" s="24"/>
      <c r="Z127" s="25">
        <f>IF(AQ127="5",BJ127,0)</f>
        <v>0</v>
      </c>
      <c r="AB127" s="25">
        <f>IF(AQ127="1",BH127,0)</f>
        <v>0</v>
      </c>
      <c r="AC127" s="25">
        <f>IF(AQ127="1",BI127,0)</f>
        <v>0</v>
      </c>
      <c r="AD127" s="25">
        <f>IF(AQ127="7",BH127,0)</f>
        <v>0</v>
      </c>
      <c r="AE127" s="25">
        <f>IF(AQ127="7",BI127,0)</f>
        <v>0</v>
      </c>
      <c r="AF127" s="25">
        <f>IF(AQ127="2",BH127,0)</f>
        <v>0</v>
      </c>
      <c r="AG127" s="25">
        <f>IF(AQ127="2",BI127,0)</f>
        <v>0</v>
      </c>
      <c r="AH127" s="25">
        <f>IF(AQ127="0",BJ127,0)</f>
        <v>0</v>
      </c>
      <c r="AI127" s="10" t="s">
        <v>48</v>
      </c>
      <c r="AJ127" s="25">
        <f>IF(AN127=0,J127,0)</f>
        <v>0</v>
      </c>
      <c r="AK127" s="25">
        <f>IF(AN127=12,J127,0)</f>
        <v>0</v>
      </c>
      <c r="AL127" s="25">
        <f>IF(AN127=21,J127,0)</f>
        <v>0</v>
      </c>
      <c r="AN127" s="25">
        <v>21</v>
      </c>
      <c r="AO127" s="25">
        <f>G127*1</f>
        <v>0</v>
      </c>
      <c r="AP127" s="25">
        <f>G127*(1-1)</f>
        <v>0</v>
      </c>
      <c r="AQ127" s="27" t="s">
        <v>307</v>
      </c>
      <c r="AV127" s="25">
        <f>AW127+AX127</f>
        <v>0</v>
      </c>
      <c r="AW127" s="25">
        <f>F127*AO127</f>
        <v>0</v>
      </c>
      <c r="AX127" s="25">
        <f>F127*AP127</f>
        <v>0</v>
      </c>
      <c r="AY127" s="27" t="s">
        <v>308</v>
      </c>
      <c r="AZ127" s="27" t="s">
        <v>309</v>
      </c>
      <c r="BA127" s="10" t="s">
        <v>58</v>
      </c>
      <c r="BC127" s="25">
        <f>AW127+AX127</f>
        <v>0</v>
      </c>
      <c r="BD127" s="25">
        <f>G127/(100-BE127)*100</f>
        <v>0</v>
      </c>
      <c r="BE127" s="25">
        <v>0</v>
      </c>
      <c r="BF127" s="25">
        <f>127</f>
        <v>127</v>
      </c>
      <c r="BH127" s="25">
        <f>F127*AO127</f>
        <v>0</v>
      </c>
      <c r="BI127" s="25">
        <f>F127*AP127</f>
        <v>0</v>
      </c>
      <c r="BJ127" s="25">
        <f>F127*G127</f>
        <v>0</v>
      </c>
      <c r="BK127" s="25"/>
      <c r="BL127" s="25"/>
      <c r="BW127" s="25">
        <v>21</v>
      </c>
    </row>
    <row r="128" spans="1:75" ht="27" customHeight="1" x14ac:dyDescent="0.25">
      <c r="A128" s="28"/>
      <c r="B128" s="29" t="s">
        <v>59</v>
      </c>
      <c r="C128" s="97" t="s">
        <v>310</v>
      </c>
      <c r="D128" s="98"/>
      <c r="E128" s="98"/>
      <c r="F128" s="98"/>
      <c r="G128" s="99"/>
      <c r="H128" s="98"/>
      <c r="I128" s="98"/>
      <c r="J128" s="98"/>
      <c r="K128" s="98"/>
      <c r="L128" s="100"/>
    </row>
    <row r="129" spans="1:75" ht="27" customHeight="1" x14ac:dyDescent="0.25">
      <c r="A129" s="2" t="s">
        <v>311</v>
      </c>
      <c r="B129" s="3" t="s">
        <v>312</v>
      </c>
      <c r="C129" s="91" t="s">
        <v>313</v>
      </c>
      <c r="D129" s="92"/>
      <c r="E129" s="3" t="s">
        <v>54</v>
      </c>
      <c r="F129" s="25">
        <v>1137.57</v>
      </c>
      <c r="G129" s="26">
        <v>0</v>
      </c>
      <c r="H129" s="25">
        <f>F129*AO129</f>
        <v>0</v>
      </c>
      <c r="I129" s="25">
        <f>F129*AP129</f>
        <v>0</v>
      </c>
      <c r="J129" s="25">
        <f>F129*G129</f>
        <v>0</v>
      </c>
      <c r="K129" s="27" t="s">
        <v>55</v>
      </c>
      <c r="L129" s="24"/>
      <c r="Z129" s="25">
        <f>IF(AQ129="5",BJ129,0)</f>
        <v>0</v>
      </c>
      <c r="AB129" s="25">
        <f>IF(AQ129="1",BH129,0)</f>
        <v>0</v>
      </c>
      <c r="AC129" s="25">
        <f>IF(AQ129="1",BI129,0)</f>
        <v>0</v>
      </c>
      <c r="AD129" s="25">
        <f>IF(AQ129="7",BH129,0)</f>
        <v>0</v>
      </c>
      <c r="AE129" s="25">
        <f>IF(AQ129="7",BI129,0)</f>
        <v>0</v>
      </c>
      <c r="AF129" s="25">
        <f>IF(AQ129="2",BH129,0)</f>
        <v>0</v>
      </c>
      <c r="AG129" s="25">
        <f>IF(AQ129="2",BI129,0)</f>
        <v>0</v>
      </c>
      <c r="AH129" s="25">
        <f>IF(AQ129="0",BJ129,0)</f>
        <v>0</v>
      </c>
      <c r="AI129" s="10" t="s">
        <v>48</v>
      </c>
      <c r="AJ129" s="25">
        <f>IF(AN129=0,J129,0)</f>
        <v>0</v>
      </c>
      <c r="AK129" s="25">
        <f>IF(AN129=12,J129,0)</f>
        <v>0</v>
      </c>
      <c r="AL129" s="25">
        <f>IF(AN129=21,J129,0)</f>
        <v>0</v>
      </c>
      <c r="AN129" s="25">
        <v>21</v>
      </c>
      <c r="AO129" s="25">
        <f>G129*1</f>
        <v>0</v>
      </c>
      <c r="AP129" s="25">
        <f>G129*(1-1)</f>
        <v>0</v>
      </c>
      <c r="AQ129" s="27" t="s">
        <v>307</v>
      </c>
      <c r="AV129" s="25">
        <f>AW129+AX129</f>
        <v>0</v>
      </c>
      <c r="AW129" s="25">
        <f>F129*AO129</f>
        <v>0</v>
      </c>
      <c r="AX129" s="25">
        <f>F129*AP129</f>
        <v>0</v>
      </c>
      <c r="AY129" s="27" t="s">
        <v>308</v>
      </c>
      <c r="AZ129" s="27" t="s">
        <v>309</v>
      </c>
      <c r="BA129" s="10" t="s">
        <v>58</v>
      </c>
      <c r="BC129" s="25">
        <f>AW129+AX129</f>
        <v>0</v>
      </c>
      <c r="BD129" s="25">
        <f>G129/(100-BE129)*100</f>
        <v>0</v>
      </c>
      <c r="BE129" s="25">
        <v>0</v>
      </c>
      <c r="BF129" s="25">
        <f>129</f>
        <v>129</v>
      </c>
      <c r="BH129" s="25">
        <f>F129*AO129</f>
        <v>0</v>
      </c>
      <c r="BI129" s="25">
        <f>F129*AP129</f>
        <v>0</v>
      </c>
      <c r="BJ129" s="25">
        <f>F129*G129</f>
        <v>0</v>
      </c>
      <c r="BK129" s="25"/>
      <c r="BL129" s="25"/>
      <c r="BW129" s="25">
        <v>21</v>
      </c>
    </row>
    <row r="130" spans="1:75" ht="40.5" customHeight="1" x14ac:dyDescent="0.25">
      <c r="A130" s="28"/>
      <c r="B130" s="29" t="s">
        <v>59</v>
      </c>
      <c r="C130" s="97" t="s">
        <v>314</v>
      </c>
      <c r="D130" s="98"/>
      <c r="E130" s="98"/>
      <c r="F130" s="98"/>
      <c r="G130" s="99"/>
      <c r="H130" s="98"/>
      <c r="I130" s="98"/>
      <c r="J130" s="98"/>
      <c r="K130" s="98"/>
      <c r="L130" s="100"/>
    </row>
    <row r="131" spans="1:75" ht="27" customHeight="1" x14ac:dyDescent="0.25">
      <c r="A131" s="2" t="s">
        <v>315</v>
      </c>
      <c r="B131" s="3" t="s">
        <v>316</v>
      </c>
      <c r="C131" s="91" t="s">
        <v>317</v>
      </c>
      <c r="D131" s="92"/>
      <c r="E131" s="3" t="s">
        <v>54</v>
      </c>
      <c r="F131" s="25">
        <v>1137.57</v>
      </c>
      <c r="G131" s="26">
        <v>0</v>
      </c>
      <c r="H131" s="25">
        <f>F131*AO131</f>
        <v>0</v>
      </c>
      <c r="I131" s="25">
        <f>F131*AP131</f>
        <v>0</v>
      </c>
      <c r="J131" s="25">
        <f>F131*G131</f>
        <v>0</v>
      </c>
      <c r="K131" s="27" t="s">
        <v>55</v>
      </c>
      <c r="L131" s="24"/>
      <c r="Z131" s="25">
        <f>IF(AQ131="5",BJ131,0)</f>
        <v>0</v>
      </c>
      <c r="AB131" s="25">
        <f>IF(AQ131="1",BH131,0)</f>
        <v>0</v>
      </c>
      <c r="AC131" s="25">
        <f>IF(AQ131="1",BI131,0)</f>
        <v>0</v>
      </c>
      <c r="AD131" s="25">
        <f>IF(AQ131="7",BH131,0)</f>
        <v>0</v>
      </c>
      <c r="AE131" s="25">
        <f>IF(AQ131="7",BI131,0)</f>
        <v>0</v>
      </c>
      <c r="AF131" s="25">
        <f>IF(AQ131="2",BH131,0)</f>
        <v>0</v>
      </c>
      <c r="AG131" s="25">
        <f>IF(AQ131="2",BI131,0)</f>
        <v>0</v>
      </c>
      <c r="AH131" s="25">
        <f>IF(AQ131="0",BJ131,0)</f>
        <v>0</v>
      </c>
      <c r="AI131" s="10" t="s">
        <v>48</v>
      </c>
      <c r="AJ131" s="25">
        <f>IF(AN131=0,J131,0)</f>
        <v>0</v>
      </c>
      <c r="AK131" s="25">
        <f>IF(AN131=12,J131,0)</f>
        <v>0</v>
      </c>
      <c r="AL131" s="25">
        <f>IF(AN131=21,J131,0)</f>
        <v>0</v>
      </c>
      <c r="AN131" s="25">
        <v>21</v>
      </c>
      <c r="AO131" s="25">
        <f>G131*1</f>
        <v>0</v>
      </c>
      <c r="AP131" s="25">
        <f>G131*(1-1)</f>
        <v>0</v>
      </c>
      <c r="AQ131" s="27" t="s">
        <v>307</v>
      </c>
      <c r="AV131" s="25">
        <f>AW131+AX131</f>
        <v>0</v>
      </c>
      <c r="AW131" s="25">
        <f>F131*AO131</f>
        <v>0</v>
      </c>
      <c r="AX131" s="25">
        <f>F131*AP131</f>
        <v>0</v>
      </c>
      <c r="AY131" s="27" t="s">
        <v>308</v>
      </c>
      <c r="AZ131" s="27" t="s">
        <v>309</v>
      </c>
      <c r="BA131" s="10" t="s">
        <v>58</v>
      </c>
      <c r="BC131" s="25">
        <f>AW131+AX131</f>
        <v>0</v>
      </c>
      <c r="BD131" s="25">
        <f>G131/(100-BE131)*100</f>
        <v>0</v>
      </c>
      <c r="BE131" s="25">
        <v>0</v>
      </c>
      <c r="BF131" s="25">
        <f>131</f>
        <v>131</v>
      </c>
      <c r="BH131" s="25">
        <f>F131*AO131</f>
        <v>0</v>
      </c>
      <c r="BI131" s="25">
        <f>F131*AP131</f>
        <v>0</v>
      </c>
      <c r="BJ131" s="25">
        <f>F131*G131</f>
        <v>0</v>
      </c>
      <c r="BK131" s="25"/>
      <c r="BL131" s="25"/>
      <c r="BW131" s="25">
        <v>21</v>
      </c>
    </row>
    <row r="132" spans="1:75" ht="27" customHeight="1" x14ac:dyDescent="0.25">
      <c r="A132" s="28"/>
      <c r="B132" s="29" t="s">
        <v>59</v>
      </c>
      <c r="C132" s="97" t="s">
        <v>318</v>
      </c>
      <c r="D132" s="98"/>
      <c r="E132" s="98"/>
      <c r="F132" s="98"/>
      <c r="G132" s="99"/>
      <c r="H132" s="98"/>
      <c r="I132" s="98"/>
      <c r="J132" s="98"/>
      <c r="K132" s="98"/>
      <c r="L132" s="100"/>
    </row>
    <row r="133" spans="1:75" ht="27" customHeight="1" x14ac:dyDescent="0.25">
      <c r="A133" s="2" t="s">
        <v>319</v>
      </c>
      <c r="B133" s="3" t="s">
        <v>320</v>
      </c>
      <c r="C133" s="91" t="s">
        <v>321</v>
      </c>
      <c r="D133" s="92"/>
      <c r="E133" s="3" t="s">
        <v>70</v>
      </c>
      <c r="F133" s="25">
        <v>104.18</v>
      </c>
      <c r="G133" s="26">
        <v>0</v>
      </c>
      <c r="H133" s="25">
        <f>F133*AO133</f>
        <v>0</v>
      </c>
      <c r="I133" s="25">
        <f>F133*AP133</f>
        <v>0</v>
      </c>
      <c r="J133" s="25">
        <f>F133*G133</f>
        <v>0</v>
      </c>
      <c r="K133" s="27" t="s">
        <v>55</v>
      </c>
      <c r="L133" s="24"/>
      <c r="Z133" s="25">
        <f>IF(AQ133="5",BJ133,0)</f>
        <v>0</v>
      </c>
      <c r="AB133" s="25">
        <f>IF(AQ133="1",BH133,0)</f>
        <v>0</v>
      </c>
      <c r="AC133" s="25">
        <f>IF(AQ133="1",BI133,0)</f>
        <v>0</v>
      </c>
      <c r="AD133" s="25">
        <f>IF(AQ133="7",BH133,0)</f>
        <v>0</v>
      </c>
      <c r="AE133" s="25">
        <f>IF(AQ133="7",BI133,0)</f>
        <v>0</v>
      </c>
      <c r="AF133" s="25">
        <f>IF(AQ133="2",BH133,0)</f>
        <v>0</v>
      </c>
      <c r="AG133" s="25">
        <f>IF(AQ133="2",BI133,0)</f>
        <v>0</v>
      </c>
      <c r="AH133" s="25">
        <f>IF(AQ133="0",BJ133,0)</f>
        <v>0</v>
      </c>
      <c r="AI133" s="10" t="s">
        <v>48</v>
      </c>
      <c r="AJ133" s="25">
        <f>IF(AN133=0,J133,0)</f>
        <v>0</v>
      </c>
      <c r="AK133" s="25">
        <f>IF(AN133=12,J133,0)</f>
        <v>0</v>
      </c>
      <c r="AL133" s="25">
        <f>IF(AN133=21,J133,0)</f>
        <v>0</v>
      </c>
      <c r="AN133" s="25">
        <v>21</v>
      </c>
      <c r="AO133" s="25">
        <f>G133*1</f>
        <v>0</v>
      </c>
      <c r="AP133" s="25">
        <f>G133*(1-1)</f>
        <v>0</v>
      </c>
      <c r="AQ133" s="27" t="s">
        <v>307</v>
      </c>
      <c r="AV133" s="25">
        <f>AW133+AX133</f>
        <v>0</v>
      </c>
      <c r="AW133" s="25">
        <f>F133*AO133</f>
        <v>0</v>
      </c>
      <c r="AX133" s="25">
        <f>F133*AP133</f>
        <v>0</v>
      </c>
      <c r="AY133" s="27" t="s">
        <v>308</v>
      </c>
      <c r="AZ133" s="27" t="s">
        <v>309</v>
      </c>
      <c r="BA133" s="10" t="s">
        <v>58</v>
      </c>
      <c r="BC133" s="25">
        <f>AW133+AX133</f>
        <v>0</v>
      </c>
      <c r="BD133" s="25">
        <f>G133/(100-BE133)*100</f>
        <v>0</v>
      </c>
      <c r="BE133" s="25">
        <v>0</v>
      </c>
      <c r="BF133" s="25">
        <f>133</f>
        <v>133</v>
      </c>
      <c r="BH133" s="25">
        <f>F133*AO133</f>
        <v>0</v>
      </c>
      <c r="BI133" s="25">
        <f>F133*AP133</f>
        <v>0</v>
      </c>
      <c r="BJ133" s="25">
        <f>F133*G133</f>
        <v>0</v>
      </c>
      <c r="BK133" s="25"/>
      <c r="BL133" s="25"/>
      <c r="BW133" s="25">
        <v>21</v>
      </c>
    </row>
    <row r="134" spans="1:75" ht="13.5" customHeight="1" x14ac:dyDescent="0.25">
      <c r="A134" s="28"/>
      <c r="B134" s="29" t="s">
        <v>59</v>
      </c>
      <c r="C134" s="97" t="s">
        <v>322</v>
      </c>
      <c r="D134" s="98"/>
      <c r="E134" s="98"/>
      <c r="F134" s="98"/>
      <c r="G134" s="99"/>
      <c r="H134" s="98"/>
      <c r="I134" s="98"/>
      <c r="J134" s="98"/>
      <c r="K134" s="98"/>
      <c r="L134" s="100"/>
    </row>
    <row r="135" spans="1:75" ht="13.5" customHeight="1" x14ac:dyDescent="0.25">
      <c r="A135" s="2" t="s">
        <v>323</v>
      </c>
      <c r="B135" s="3" t="s">
        <v>324</v>
      </c>
      <c r="C135" s="91" t="s">
        <v>325</v>
      </c>
      <c r="D135" s="92"/>
      <c r="E135" s="3" t="s">
        <v>178</v>
      </c>
      <c r="F135" s="25">
        <v>135.1</v>
      </c>
      <c r="G135" s="26">
        <v>0</v>
      </c>
      <c r="H135" s="25">
        <f>F135*AO135</f>
        <v>0</v>
      </c>
      <c r="I135" s="25">
        <f>F135*AP135</f>
        <v>0</v>
      </c>
      <c r="J135" s="25">
        <f>F135*G135</f>
        <v>0</v>
      </c>
      <c r="K135" s="27" t="s">
        <v>55</v>
      </c>
      <c r="L135" s="24"/>
      <c r="Z135" s="25">
        <f>IF(AQ135="5",BJ135,0)</f>
        <v>0</v>
      </c>
      <c r="AB135" s="25">
        <f>IF(AQ135="1",BH135,0)</f>
        <v>0</v>
      </c>
      <c r="AC135" s="25">
        <f>IF(AQ135="1",BI135,0)</f>
        <v>0</v>
      </c>
      <c r="AD135" s="25">
        <f>IF(AQ135="7",BH135,0)</f>
        <v>0</v>
      </c>
      <c r="AE135" s="25">
        <f>IF(AQ135="7",BI135,0)</f>
        <v>0</v>
      </c>
      <c r="AF135" s="25">
        <f>IF(AQ135="2",BH135,0)</f>
        <v>0</v>
      </c>
      <c r="AG135" s="25">
        <f>IF(AQ135="2",BI135,0)</f>
        <v>0</v>
      </c>
      <c r="AH135" s="25">
        <f>IF(AQ135="0",BJ135,0)</f>
        <v>0</v>
      </c>
      <c r="AI135" s="10" t="s">
        <v>48</v>
      </c>
      <c r="AJ135" s="25">
        <f>IF(AN135=0,J135,0)</f>
        <v>0</v>
      </c>
      <c r="AK135" s="25">
        <f>IF(AN135=12,J135,0)</f>
        <v>0</v>
      </c>
      <c r="AL135" s="25">
        <f>IF(AN135=21,J135,0)</f>
        <v>0</v>
      </c>
      <c r="AN135" s="25">
        <v>21</v>
      </c>
      <c r="AO135" s="25">
        <f>G135*1</f>
        <v>0</v>
      </c>
      <c r="AP135" s="25">
        <f>G135*(1-1)</f>
        <v>0</v>
      </c>
      <c r="AQ135" s="27" t="s">
        <v>307</v>
      </c>
      <c r="AV135" s="25">
        <f>AW135+AX135</f>
        <v>0</v>
      </c>
      <c r="AW135" s="25">
        <f>F135*AO135</f>
        <v>0</v>
      </c>
      <c r="AX135" s="25">
        <f>F135*AP135</f>
        <v>0</v>
      </c>
      <c r="AY135" s="27" t="s">
        <v>308</v>
      </c>
      <c r="AZ135" s="27" t="s">
        <v>309</v>
      </c>
      <c r="BA135" s="10" t="s">
        <v>58</v>
      </c>
      <c r="BC135" s="25">
        <f>AW135+AX135</f>
        <v>0</v>
      </c>
      <c r="BD135" s="25">
        <f>G135/(100-BE135)*100</f>
        <v>0</v>
      </c>
      <c r="BE135" s="25">
        <v>0</v>
      </c>
      <c r="BF135" s="25">
        <f>135</f>
        <v>135</v>
      </c>
      <c r="BH135" s="25">
        <f>F135*AO135</f>
        <v>0</v>
      </c>
      <c r="BI135" s="25">
        <f>F135*AP135</f>
        <v>0</v>
      </c>
      <c r="BJ135" s="25">
        <f>F135*G135</f>
        <v>0</v>
      </c>
      <c r="BK135" s="25"/>
      <c r="BL135" s="25"/>
      <c r="BW135" s="25">
        <v>21</v>
      </c>
    </row>
    <row r="136" spans="1:75" ht="13.5" customHeight="1" x14ac:dyDescent="0.25">
      <c r="A136" s="28"/>
      <c r="B136" s="29" t="s">
        <v>59</v>
      </c>
      <c r="C136" s="97" t="s">
        <v>326</v>
      </c>
      <c r="D136" s="98"/>
      <c r="E136" s="98"/>
      <c r="F136" s="98"/>
      <c r="G136" s="99"/>
      <c r="H136" s="98"/>
      <c r="I136" s="98"/>
      <c r="J136" s="98"/>
      <c r="K136" s="98"/>
      <c r="L136" s="100"/>
    </row>
    <row r="137" spans="1:75" ht="13.5" customHeight="1" x14ac:dyDescent="0.25">
      <c r="A137" s="2" t="s">
        <v>327</v>
      </c>
      <c r="B137" s="3" t="s">
        <v>328</v>
      </c>
      <c r="C137" s="91" t="s">
        <v>329</v>
      </c>
      <c r="D137" s="92"/>
      <c r="E137" s="3" t="s">
        <v>221</v>
      </c>
      <c r="F137" s="25">
        <v>195</v>
      </c>
      <c r="G137" s="26">
        <v>0</v>
      </c>
      <c r="H137" s="25">
        <f>F137*AO137</f>
        <v>0</v>
      </c>
      <c r="I137" s="25">
        <f>F137*AP137</f>
        <v>0</v>
      </c>
      <c r="J137" s="25">
        <f>F137*G137</f>
        <v>0</v>
      </c>
      <c r="K137" s="27" t="s">
        <v>55</v>
      </c>
      <c r="L137" s="24"/>
      <c r="Z137" s="25">
        <f>IF(AQ137="5",BJ137,0)</f>
        <v>0</v>
      </c>
      <c r="AB137" s="25">
        <f>IF(AQ137="1",BH137,0)</f>
        <v>0</v>
      </c>
      <c r="AC137" s="25">
        <f>IF(AQ137="1",BI137,0)</f>
        <v>0</v>
      </c>
      <c r="AD137" s="25">
        <f>IF(AQ137="7",BH137,0)</f>
        <v>0</v>
      </c>
      <c r="AE137" s="25">
        <f>IF(AQ137="7",BI137,0)</f>
        <v>0</v>
      </c>
      <c r="AF137" s="25">
        <f>IF(AQ137="2",BH137,0)</f>
        <v>0</v>
      </c>
      <c r="AG137" s="25">
        <f>IF(AQ137="2",BI137,0)</f>
        <v>0</v>
      </c>
      <c r="AH137" s="25">
        <f>IF(AQ137="0",BJ137,0)</f>
        <v>0</v>
      </c>
      <c r="AI137" s="10" t="s">
        <v>48</v>
      </c>
      <c r="AJ137" s="25">
        <f>IF(AN137=0,J137,0)</f>
        <v>0</v>
      </c>
      <c r="AK137" s="25">
        <f>IF(AN137=12,J137,0)</f>
        <v>0</v>
      </c>
      <c r="AL137" s="25">
        <f>IF(AN137=21,J137,0)</f>
        <v>0</v>
      </c>
      <c r="AN137" s="25">
        <v>21</v>
      </c>
      <c r="AO137" s="25">
        <f>G137*1</f>
        <v>0</v>
      </c>
      <c r="AP137" s="25">
        <f>G137*(1-1)</f>
        <v>0</v>
      </c>
      <c r="AQ137" s="27" t="s">
        <v>307</v>
      </c>
      <c r="AV137" s="25">
        <f>AW137+AX137</f>
        <v>0</v>
      </c>
      <c r="AW137" s="25">
        <f>F137*AO137</f>
        <v>0</v>
      </c>
      <c r="AX137" s="25">
        <f>F137*AP137</f>
        <v>0</v>
      </c>
      <c r="AY137" s="27" t="s">
        <v>308</v>
      </c>
      <c r="AZ137" s="27" t="s">
        <v>309</v>
      </c>
      <c r="BA137" s="10" t="s">
        <v>58</v>
      </c>
      <c r="BC137" s="25">
        <f>AW137+AX137</f>
        <v>0</v>
      </c>
      <c r="BD137" s="25">
        <f>G137/(100-BE137)*100</f>
        <v>0</v>
      </c>
      <c r="BE137" s="25">
        <v>0</v>
      </c>
      <c r="BF137" s="25">
        <f>137</f>
        <v>137</v>
      </c>
      <c r="BH137" s="25">
        <f>F137*AO137</f>
        <v>0</v>
      </c>
      <c r="BI137" s="25">
        <f>F137*AP137</f>
        <v>0</v>
      </c>
      <c r="BJ137" s="25">
        <f>F137*G137</f>
        <v>0</v>
      </c>
      <c r="BK137" s="25"/>
      <c r="BL137" s="25"/>
      <c r="BW137" s="25">
        <v>21</v>
      </c>
    </row>
    <row r="138" spans="1:75" ht="13.5" customHeight="1" x14ac:dyDescent="0.25">
      <c r="A138" s="33"/>
      <c r="B138" s="34" t="s">
        <v>59</v>
      </c>
      <c r="C138" s="104" t="s">
        <v>330</v>
      </c>
      <c r="D138" s="105"/>
      <c r="E138" s="105"/>
      <c r="F138" s="105"/>
      <c r="G138" s="106"/>
      <c r="H138" s="105"/>
      <c r="I138" s="105"/>
      <c r="J138" s="105"/>
      <c r="K138" s="105"/>
      <c r="L138" s="100"/>
    </row>
    <row r="139" spans="1:75" ht="27" customHeight="1" x14ac:dyDescent="0.25">
      <c r="A139" s="35" t="s">
        <v>331</v>
      </c>
      <c r="B139" s="36" t="s">
        <v>332</v>
      </c>
      <c r="C139" s="107" t="s">
        <v>333</v>
      </c>
      <c r="D139" s="108"/>
      <c r="E139" s="36" t="s">
        <v>54</v>
      </c>
      <c r="F139" s="37">
        <v>696.96</v>
      </c>
      <c r="G139" s="38">
        <v>0</v>
      </c>
      <c r="H139" s="37">
        <f>F139*AO139</f>
        <v>0</v>
      </c>
      <c r="I139" s="37">
        <f>F139*AP139</f>
        <v>0</v>
      </c>
      <c r="J139" s="37">
        <f>F139*G139</f>
        <v>0</v>
      </c>
      <c r="K139" s="39" t="s">
        <v>55</v>
      </c>
      <c r="L139" s="40"/>
      <c r="Z139" s="25">
        <f>IF(AQ139="5",BJ139,0)</f>
        <v>0</v>
      </c>
      <c r="AB139" s="25">
        <f>IF(AQ139="1",BH139,0)</f>
        <v>0</v>
      </c>
      <c r="AC139" s="25">
        <f>IF(AQ139="1",BI139,0)</f>
        <v>0</v>
      </c>
      <c r="AD139" s="25">
        <f>IF(AQ139="7",BH139,0)</f>
        <v>0</v>
      </c>
      <c r="AE139" s="25">
        <f>IF(AQ139="7",BI139,0)</f>
        <v>0</v>
      </c>
      <c r="AF139" s="25">
        <f>IF(AQ139="2",BH139,0)</f>
        <v>0</v>
      </c>
      <c r="AG139" s="25">
        <f>IF(AQ139="2",BI139,0)</f>
        <v>0</v>
      </c>
      <c r="AH139" s="25">
        <f>IF(AQ139="0",BJ139,0)</f>
        <v>0</v>
      </c>
      <c r="AI139" s="10" t="s">
        <v>48</v>
      </c>
      <c r="AJ139" s="25">
        <f>IF(AN139=0,J139,0)</f>
        <v>0</v>
      </c>
      <c r="AK139" s="25">
        <f>IF(AN139=12,J139,0)</f>
        <v>0</v>
      </c>
      <c r="AL139" s="25">
        <f>IF(AN139=21,J139,0)</f>
        <v>0</v>
      </c>
      <c r="AN139" s="25">
        <v>21</v>
      </c>
      <c r="AO139" s="25">
        <f>G139*1</f>
        <v>0</v>
      </c>
      <c r="AP139" s="25">
        <f>G139*(1-1)</f>
        <v>0</v>
      </c>
      <c r="AQ139" s="27" t="s">
        <v>307</v>
      </c>
      <c r="AV139" s="25">
        <f>AW139+AX139</f>
        <v>0</v>
      </c>
      <c r="AW139" s="25">
        <f>F139*AO139</f>
        <v>0</v>
      </c>
      <c r="AX139" s="25">
        <f>F139*AP139</f>
        <v>0</v>
      </c>
      <c r="AY139" s="27" t="s">
        <v>308</v>
      </c>
      <c r="AZ139" s="27" t="s">
        <v>309</v>
      </c>
      <c r="BA139" s="10" t="s">
        <v>58</v>
      </c>
      <c r="BC139" s="25">
        <f>AW139+AX139</f>
        <v>0</v>
      </c>
      <c r="BD139" s="25">
        <f>G139/(100-BE139)*100</f>
        <v>0</v>
      </c>
      <c r="BE139" s="25">
        <v>0</v>
      </c>
      <c r="BF139" s="25">
        <f>139</f>
        <v>139</v>
      </c>
      <c r="BH139" s="25">
        <f>F139*AO139</f>
        <v>0</v>
      </c>
      <c r="BI139" s="25">
        <f>F139*AP139</f>
        <v>0</v>
      </c>
      <c r="BJ139" s="25">
        <f>F139*G139</f>
        <v>0</v>
      </c>
      <c r="BK139" s="25"/>
      <c r="BL139" s="25"/>
      <c r="BW139" s="25">
        <v>21</v>
      </c>
    </row>
    <row r="140" spans="1:75" ht="13.5" customHeight="1" x14ac:dyDescent="0.25">
      <c r="A140" s="41"/>
      <c r="B140" s="42" t="s">
        <v>59</v>
      </c>
      <c r="C140" s="101" t="s">
        <v>334</v>
      </c>
      <c r="D140" s="102"/>
      <c r="E140" s="102"/>
      <c r="F140" s="102"/>
      <c r="G140" s="103"/>
      <c r="H140" s="102"/>
      <c r="I140" s="102"/>
      <c r="J140" s="102"/>
      <c r="K140" s="102"/>
      <c r="L140" s="100"/>
    </row>
    <row r="141" spans="1:75" ht="27" customHeight="1" x14ac:dyDescent="0.25">
      <c r="A141" s="2" t="s">
        <v>335</v>
      </c>
      <c r="B141" s="3" t="s">
        <v>336</v>
      </c>
      <c r="C141" s="91" t="s">
        <v>337</v>
      </c>
      <c r="D141" s="92"/>
      <c r="E141" s="3" t="s">
        <v>178</v>
      </c>
      <c r="F141" s="25">
        <v>718.2</v>
      </c>
      <c r="G141" s="26">
        <v>0</v>
      </c>
      <c r="H141" s="25">
        <f>F141*AO141</f>
        <v>0</v>
      </c>
      <c r="I141" s="25">
        <f>F141*AP141</f>
        <v>0</v>
      </c>
      <c r="J141" s="25">
        <f>F141*G141</f>
        <v>0</v>
      </c>
      <c r="K141" s="27" t="s">
        <v>55</v>
      </c>
      <c r="L141" s="24"/>
      <c r="Z141" s="25">
        <f>IF(AQ141="5",BJ141,0)</f>
        <v>0</v>
      </c>
      <c r="AB141" s="25">
        <f>IF(AQ141="1",BH141,0)</f>
        <v>0</v>
      </c>
      <c r="AC141" s="25">
        <f>IF(AQ141="1",BI141,0)</f>
        <v>0</v>
      </c>
      <c r="AD141" s="25">
        <f>IF(AQ141="7",BH141,0)</f>
        <v>0</v>
      </c>
      <c r="AE141" s="25">
        <f>IF(AQ141="7",BI141,0)</f>
        <v>0</v>
      </c>
      <c r="AF141" s="25">
        <f>IF(AQ141="2",BH141,0)</f>
        <v>0</v>
      </c>
      <c r="AG141" s="25">
        <f>IF(AQ141="2",BI141,0)</f>
        <v>0</v>
      </c>
      <c r="AH141" s="25">
        <f>IF(AQ141="0",BJ141,0)</f>
        <v>0</v>
      </c>
      <c r="AI141" s="10" t="s">
        <v>48</v>
      </c>
      <c r="AJ141" s="25">
        <f>IF(AN141=0,J141,0)</f>
        <v>0</v>
      </c>
      <c r="AK141" s="25">
        <f>IF(AN141=12,J141,0)</f>
        <v>0</v>
      </c>
      <c r="AL141" s="25">
        <f>IF(AN141=21,J141,0)</f>
        <v>0</v>
      </c>
      <c r="AN141" s="25">
        <v>21</v>
      </c>
      <c r="AO141" s="25">
        <f>G141*1</f>
        <v>0</v>
      </c>
      <c r="AP141" s="25">
        <f>G141*(1-1)</f>
        <v>0</v>
      </c>
      <c r="AQ141" s="27" t="s">
        <v>307</v>
      </c>
      <c r="AV141" s="25">
        <f>AW141+AX141</f>
        <v>0</v>
      </c>
      <c r="AW141" s="25">
        <f>F141*AO141</f>
        <v>0</v>
      </c>
      <c r="AX141" s="25">
        <f>F141*AP141</f>
        <v>0</v>
      </c>
      <c r="AY141" s="27" t="s">
        <v>308</v>
      </c>
      <c r="AZ141" s="27" t="s">
        <v>309</v>
      </c>
      <c r="BA141" s="10" t="s">
        <v>58</v>
      </c>
      <c r="BC141" s="25">
        <f>AW141+AX141</f>
        <v>0</v>
      </c>
      <c r="BD141" s="25">
        <f>G141/(100-BE141)*100</f>
        <v>0</v>
      </c>
      <c r="BE141" s="25">
        <v>0</v>
      </c>
      <c r="BF141" s="25">
        <f>141</f>
        <v>141</v>
      </c>
      <c r="BH141" s="25">
        <f>F141*AO141</f>
        <v>0</v>
      </c>
      <c r="BI141" s="25">
        <f>F141*AP141</f>
        <v>0</v>
      </c>
      <c r="BJ141" s="25">
        <f>F141*G141</f>
        <v>0</v>
      </c>
      <c r="BK141" s="25"/>
      <c r="BL141" s="25"/>
      <c r="BW141" s="25">
        <v>21</v>
      </c>
    </row>
    <row r="142" spans="1:75" ht="13.5" customHeight="1" x14ac:dyDescent="0.25">
      <c r="A142" s="2" t="s">
        <v>338</v>
      </c>
      <c r="B142" s="3" t="s">
        <v>339</v>
      </c>
      <c r="C142" s="91" t="s">
        <v>340</v>
      </c>
      <c r="D142" s="92"/>
      <c r="E142" s="3" t="s">
        <v>70</v>
      </c>
      <c r="F142" s="25">
        <v>8.11</v>
      </c>
      <c r="G142" s="26">
        <v>0</v>
      </c>
      <c r="H142" s="25">
        <f>F142*AO142</f>
        <v>0</v>
      </c>
      <c r="I142" s="25">
        <f>F142*AP142</f>
        <v>0</v>
      </c>
      <c r="J142" s="25">
        <f>F142*G142</f>
        <v>0</v>
      </c>
      <c r="K142" s="27" t="s">
        <v>55</v>
      </c>
      <c r="L142" s="24"/>
      <c r="Z142" s="25">
        <f>IF(AQ142="5",BJ142,0)</f>
        <v>0</v>
      </c>
      <c r="AB142" s="25">
        <f>IF(AQ142="1",BH142,0)</f>
        <v>0</v>
      </c>
      <c r="AC142" s="25">
        <f>IF(AQ142="1",BI142,0)</f>
        <v>0</v>
      </c>
      <c r="AD142" s="25">
        <f>IF(AQ142="7",BH142,0)</f>
        <v>0</v>
      </c>
      <c r="AE142" s="25">
        <f>IF(AQ142="7",BI142,0)</f>
        <v>0</v>
      </c>
      <c r="AF142" s="25">
        <f>IF(AQ142="2",BH142,0)</f>
        <v>0</v>
      </c>
      <c r="AG142" s="25">
        <f>IF(AQ142="2",BI142,0)</f>
        <v>0</v>
      </c>
      <c r="AH142" s="25">
        <f>IF(AQ142="0",BJ142,0)</f>
        <v>0</v>
      </c>
      <c r="AI142" s="10" t="s">
        <v>48</v>
      </c>
      <c r="AJ142" s="25">
        <f>IF(AN142=0,J142,0)</f>
        <v>0</v>
      </c>
      <c r="AK142" s="25">
        <f>IF(AN142=12,J142,0)</f>
        <v>0</v>
      </c>
      <c r="AL142" s="25">
        <f>IF(AN142=21,J142,0)</f>
        <v>0</v>
      </c>
      <c r="AN142" s="25">
        <v>21</v>
      </c>
      <c r="AO142" s="25">
        <f>G142*1</f>
        <v>0</v>
      </c>
      <c r="AP142" s="25">
        <f>G142*(1-1)</f>
        <v>0</v>
      </c>
      <c r="AQ142" s="27" t="s">
        <v>307</v>
      </c>
      <c r="AV142" s="25">
        <f>AW142+AX142</f>
        <v>0</v>
      </c>
      <c r="AW142" s="25">
        <f>F142*AO142</f>
        <v>0</v>
      </c>
      <c r="AX142" s="25">
        <f>F142*AP142</f>
        <v>0</v>
      </c>
      <c r="AY142" s="27" t="s">
        <v>308</v>
      </c>
      <c r="AZ142" s="27" t="s">
        <v>309</v>
      </c>
      <c r="BA142" s="10" t="s">
        <v>58</v>
      </c>
      <c r="BC142" s="25">
        <f>AW142+AX142</f>
        <v>0</v>
      </c>
      <c r="BD142" s="25">
        <f>G142/(100-BE142)*100</f>
        <v>0</v>
      </c>
      <c r="BE142" s="25">
        <v>0</v>
      </c>
      <c r="BF142" s="25">
        <f>142</f>
        <v>142</v>
      </c>
      <c r="BH142" s="25">
        <f>F142*AO142</f>
        <v>0</v>
      </c>
      <c r="BI142" s="25">
        <f>F142*AP142</f>
        <v>0</v>
      </c>
      <c r="BJ142" s="25">
        <f>F142*G142</f>
        <v>0</v>
      </c>
      <c r="BK142" s="25"/>
      <c r="BL142" s="25"/>
      <c r="BW142" s="25">
        <v>21</v>
      </c>
    </row>
    <row r="143" spans="1:75" ht="13.5" customHeight="1" x14ac:dyDescent="0.25">
      <c r="A143" s="28"/>
      <c r="B143" s="29" t="s">
        <v>59</v>
      </c>
      <c r="C143" s="97" t="s">
        <v>341</v>
      </c>
      <c r="D143" s="98"/>
      <c r="E143" s="98"/>
      <c r="F143" s="98"/>
      <c r="G143" s="99"/>
      <c r="H143" s="98"/>
      <c r="I143" s="98"/>
      <c r="J143" s="98"/>
      <c r="K143" s="98"/>
      <c r="L143" s="100"/>
    </row>
    <row r="144" spans="1:75" ht="26.25" customHeight="1" x14ac:dyDescent="0.25">
      <c r="A144" s="30" t="s">
        <v>48</v>
      </c>
      <c r="B144" s="31" t="s">
        <v>48</v>
      </c>
      <c r="C144" s="93" t="s">
        <v>342</v>
      </c>
      <c r="D144" s="94"/>
      <c r="E144" s="32" t="s">
        <v>4</v>
      </c>
      <c r="F144" s="32" t="s">
        <v>4</v>
      </c>
      <c r="G144" s="89" t="s">
        <v>4</v>
      </c>
      <c r="H144" s="1">
        <f>H145+H149+H153</f>
        <v>0</v>
      </c>
      <c r="I144" s="1">
        <f>I145+I149+I153</f>
        <v>0</v>
      </c>
      <c r="J144" s="1">
        <f>J145+J149+J153</f>
        <v>0</v>
      </c>
      <c r="K144" s="10" t="s">
        <v>48</v>
      </c>
      <c r="L144" s="24"/>
      <c r="AI144" s="10" t="s">
        <v>48</v>
      </c>
    </row>
    <row r="145" spans="1:75" ht="26.25" customHeight="1" x14ac:dyDescent="0.25">
      <c r="A145" s="30" t="s">
        <v>48</v>
      </c>
      <c r="B145" s="31" t="s">
        <v>343</v>
      </c>
      <c r="C145" s="93" t="s">
        <v>344</v>
      </c>
      <c r="D145" s="94"/>
      <c r="E145" s="32" t="s">
        <v>4</v>
      </c>
      <c r="F145" s="32" t="s">
        <v>4</v>
      </c>
      <c r="G145" s="89" t="s">
        <v>4</v>
      </c>
      <c r="H145" s="1">
        <f>SUM(H146:H147)</f>
        <v>0</v>
      </c>
      <c r="I145" s="1">
        <f>SUM(I146:I147)</f>
        <v>0</v>
      </c>
      <c r="J145" s="1">
        <f>SUM(J146:J147)</f>
        <v>0</v>
      </c>
      <c r="K145" s="10" t="s">
        <v>48</v>
      </c>
      <c r="L145" s="24"/>
      <c r="AI145" s="10" t="s">
        <v>48</v>
      </c>
      <c r="AS145" s="1">
        <f>SUM(AJ146:AJ147)</f>
        <v>0</v>
      </c>
      <c r="AT145" s="1">
        <f>SUM(AK146:AK147)</f>
        <v>0</v>
      </c>
      <c r="AU145" s="1">
        <f>SUM(AL146:AL147)</f>
        <v>0</v>
      </c>
    </row>
    <row r="146" spans="1:75" ht="13.5" customHeight="1" x14ac:dyDescent="0.25">
      <c r="A146" s="2" t="s">
        <v>345</v>
      </c>
      <c r="B146" s="3" t="s">
        <v>346</v>
      </c>
      <c r="C146" s="91" t="s">
        <v>347</v>
      </c>
      <c r="D146" s="92"/>
      <c r="E146" s="3" t="s">
        <v>348</v>
      </c>
      <c r="F146" s="25">
        <v>1</v>
      </c>
      <c r="G146" s="26">
        <v>0</v>
      </c>
      <c r="H146" s="25">
        <f>F146*AO146</f>
        <v>0</v>
      </c>
      <c r="I146" s="25">
        <f>F146*AP146</f>
        <v>0</v>
      </c>
      <c r="J146" s="25">
        <f>F146*G146</f>
        <v>0</v>
      </c>
      <c r="K146" s="27" t="s">
        <v>48</v>
      </c>
      <c r="L146" s="24"/>
      <c r="Z146" s="25">
        <f>IF(AQ146="5",BJ146,0)</f>
        <v>0</v>
      </c>
      <c r="AB146" s="25">
        <f>IF(AQ146="1",BH146,0)</f>
        <v>0</v>
      </c>
      <c r="AC146" s="25">
        <f>IF(AQ146="1",BI146,0)</f>
        <v>0</v>
      </c>
      <c r="AD146" s="25">
        <f>IF(AQ146="7",BH146,0)</f>
        <v>0</v>
      </c>
      <c r="AE146" s="25">
        <f>IF(AQ146="7",BI146,0)</f>
        <v>0</v>
      </c>
      <c r="AF146" s="25">
        <f>IF(AQ146="2",BH146,0)</f>
        <v>0</v>
      </c>
      <c r="AG146" s="25">
        <f>IF(AQ146="2",BI146,0)</f>
        <v>0</v>
      </c>
      <c r="AH146" s="25">
        <f>IF(AQ146="0",BJ146,0)</f>
        <v>0</v>
      </c>
      <c r="AI146" s="10" t="s">
        <v>48</v>
      </c>
      <c r="AJ146" s="25">
        <f>IF(AN146=0,J146,0)</f>
        <v>0</v>
      </c>
      <c r="AK146" s="25">
        <f>IF(AN146=12,J146,0)</f>
        <v>0</v>
      </c>
      <c r="AL146" s="25">
        <f>IF(AN146=21,J146,0)</f>
        <v>0</v>
      </c>
      <c r="AN146" s="25">
        <v>21</v>
      </c>
      <c r="AO146" s="25">
        <f>G146*0</f>
        <v>0</v>
      </c>
      <c r="AP146" s="25">
        <f>G146*(1-0)</f>
        <v>0</v>
      </c>
      <c r="AQ146" s="27" t="s">
        <v>349</v>
      </c>
      <c r="AV146" s="25">
        <f>AW146+AX146</f>
        <v>0</v>
      </c>
      <c r="AW146" s="25">
        <f>F146*AO146</f>
        <v>0</v>
      </c>
      <c r="AX146" s="25">
        <f>F146*AP146</f>
        <v>0</v>
      </c>
      <c r="AY146" s="27" t="s">
        <v>350</v>
      </c>
      <c r="AZ146" s="27" t="s">
        <v>351</v>
      </c>
      <c r="BA146" s="10" t="s">
        <v>58</v>
      </c>
      <c r="BC146" s="25">
        <f>AW146+AX146</f>
        <v>0</v>
      </c>
      <c r="BD146" s="25">
        <f>G146/(100-BE146)*100</f>
        <v>0</v>
      </c>
      <c r="BE146" s="25">
        <v>0</v>
      </c>
      <c r="BF146" s="25">
        <f>146</f>
        <v>146</v>
      </c>
      <c r="BH146" s="25">
        <f>F146*AO146</f>
        <v>0</v>
      </c>
      <c r="BI146" s="25">
        <f>F146*AP146</f>
        <v>0</v>
      </c>
      <c r="BJ146" s="25">
        <f>F146*G146</f>
        <v>0</v>
      </c>
      <c r="BK146" s="25"/>
      <c r="BL146" s="25"/>
      <c r="BM146" s="25">
        <f>F146*G146</f>
        <v>0</v>
      </c>
      <c r="BW146" s="25">
        <v>21</v>
      </c>
    </row>
    <row r="147" spans="1:75" ht="13.5" customHeight="1" x14ac:dyDescent="0.25">
      <c r="A147" s="2" t="s">
        <v>352</v>
      </c>
      <c r="B147" s="3" t="s">
        <v>353</v>
      </c>
      <c r="C147" s="91" t="s">
        <v>354</v>
      </c>
      <c r="D147" s="92"/>
      <c r="E147" s="3" t="s">
        <v>348</v>
      </c>
      <c r="F147" s="25">
        <v>1</v>
      </c>
      <c r="G147" s="26">
        <v>0</v>
      </c>
      <c r="H147" s="25">
        <f>F147*AO147</f>
        <v>0</v>
      </c>
      <c r="I147" s="25">
        <f>F147*AP147</f>
        <v>0</v>
      </c>
      <c r="J147" s="25">
        <f>F147*G147</f>
        <v>0</v>
      </c>
      <c r="K147" s="27" t="s">
        <v>48</v>
      </c>
      <c r="L147" s="24"/>
      <c r="Z147" s="25">
        <f>IF(AQ147="5",BJ147,0)</f>
        <v>0</v>
      </c>
      <c r="AB147" s="25">
        <f>IF(AQ147="1",BH147,0)</f>
        <v>0</v>
      </c>
      <c r="AC147" s="25">
        <f>IF(AQ147="1",BI147,0)</f>
        <v>0</v>
      </c>
      <c r="AD147" s="25">
        <f>IF(AQ147="7",BH147,0)</f>
        <v>0</v>
      </c>
      <c r="AE147" s="25">
        <f>IF(AQ147="7",BI147,0)</f>
        <v>0</v>
      </c>
      <c r="AF147" s="25">
        <f>IF(AQ147="2",BH147,0)</f>
        <v>0</v>
      </c>
      <c r="AG147" s="25">
        <f>IF(AQ147="2",BI147,0)</f>
        <v>0</v>
      </c>
      <c r="AH147" s="25">
        <f>IF(AQ147="0",BJ147,0)</f>
        <v>0</v>
      </c>
      <c r="AI147" s="10" t="s">
        <v>48</v>
      </c>
      <c r="AJ147" s="25">
        <f>IF(AN147=0,J147,0)</f>
        <v>0</v>
      </c>
      <c r="AK147" s="25">
        <f>IF(AN147=12,J147,0)</f>
        <v>0</v>
      </c>
      <c r="AL147" s="25">
        <f>IF(AN147=21,J147,0)</f>
        <v>0</v>
      </c>
      <c r="AN147" s="25">
        <v>21</v>
      </c>
      <c r="AO147" s="25">
        <f>G147*0</f>
        <v>0</v>
      </c>
      <c r="AP147" s="25">
        <f>G147*(1-0)</f>
        <v>0</v>
      </c>
      <c r="AQ147" s="27" t="s">
        <v>349</v>
      </c>
      <c r="AV147" s="25">
        <f>AW147+AX147</f>
        <v>0</v>
      </c>
      <c r="AW147" s="25">
        <f>F147*AO147</f>
        <v>0</v>
      </c>
      <c r="AX147" s="25">
        <f>F147*AP147</f>
        <v>0</v>
      </c>
      <c r="AY147" s="27" t="s">
        <v>350</v>
      </c>
      <c r="AZ147" s="27" t="s">
        <v>351</v>
      </c>
      <c r="BA147" s="10" t="s">
        <v>58</v>
      </c>
      <c r="BC147" s="25">
        <f>AW147+AX147</f>
        <v>0</v>
      </c>
      <c r="BD147" s="25">
        <f>G147/(100-BE147)*100</f>
        <v>0</v>
      </c>
      <c r="BE147" s="25">
        <v>0</v>
      </c>
      <c r="BF147" s="25">
        <f>147</f>
        <v>147</v>
      </c>
      <c r="BH147" s="25">
        <f>F147*AO147</f>
        <v>0</v>
      </c>
      <c r="BI147" s="25">
        <f>F147*AP147</f>
        <v>0</v>
      </c>
      <c r="BJ147" s="25">
        <f>F147*G147</f>
        <v>0</v>
      </c>
      <c r="BK147" s="25"/>
      <c r="BL147" s="25"/>
      <c r="BM147" s="25">
        <f>F147*G147</f>
        <v>0</v>
      </c>
      <c r="BW147" s="25">
        <v>21</v>
      </c>
    </row>
    <row r="148" spans="1:75" ht="27" customHeight="1" x14ac:dyDescent="0.25">
      <c r="A148" s="28"/>
      <c r="B148" s="29" t="s">
        <v>94</v>
      </c>
      <c r="C148" s="97" t="s">
        <v>355</v>
      </c>
      <c r="D148" s="98"/>
      <c r="E148" s="98"/>
      <c r="F148" s="98"/>
      <c r="G148" s="99"/>
      <c r="H148" s="98"/>
      <c r="I148" s="98"/>
      <c r="J148" s="98"/>
      <c r="K148" s="98"/>
      <c r="L148" s="100"/>
    </row>
    <row r="149" spans="1:75" x14ac:dyDescent="0.25">
      <c r="A149" s="30" t="s">
        <v>48</v>
      </c>
      <c r="B149" s="31" t="s">
        <v>356</v>
      </c>
      <c r="C149" s="93" t="s">
        <v>357</v>
      </c>
      <c r="D149" s="94"/>
      <c r="E149" s="32" t="s">
        <v>4</v>
      </c>
      <c r="F149" s="32" t="s">
        <v>4</v>
      </c>
      <c r="G149" s="89" t="s">
        <v>4</v>
      </c>
      <c r="H149" s="1">
        <f>SUM(H150:H152)</f>
        <v>0</v>
      </c>
      <c r="I149" s="1">
        <f>SUM(I150:I152)</f>
        <v>0</v>
      </c>
      <c r="J149" s="1">
        <f>SUM(J150:J152)</f>
        <v>0</v>
      </c>
      <c r="K149" s="10" t="s">
        <v>48</v>
      </c>
      <c r="L149" s="24"/>
      <c r="AI149" s="10" t="s">
        <v>48</v>
      </c>
      <c r="AS149" s="1">
        <f>SUM(AJ150:AJ152)</f>
        <v>0</v>
      </c>
      <c r="AT149" s="1">
        <f>SUM(AK150:AK152)</f>
        <v>0</v>
      </c>
      <c r="AU149" s="1">
        <f>SUM(AL150:AL152)</f>
        <v>0</v>
      </c>
    </row>
    <row r="150" spans="1:75" ht="13.5" customHeight="1" x14ac:dyDescent="0.25">
      <c r="A150" s="2" t="s">
        <v>358</v>
      </c>
      <c r="B150" s="3" t="s">
        <v>359</v>
      </c>
      <c r="C150" s="91" t="s">
        <v>357</v>
      </c>
      <c r="D150" s="92"/>
      <c r="E150" s="3" t="s">
        <v>348</v>
      </c>
      <c r="F150" s="25">
        <v>1</v>
      </c>
      <c r="G150" s="26">
        <v>0</v>
      </c>
      <c r="H150" s="25">
        <f>F150*AO150</f>
        <v>0</v>
      </c>
      <c r="I150" s="25">
        <f>F150*AP150</f>
        <v>0</v>
      </c>
      <c r="J150" s="25">
        <f>F150*G150</f>
        <v>0</v>
      </c>
      <c r="K150" s="27" t="s">
        <v>48</v>
      </c>
      <c r="L150" s="24"/>
      <c r="Z150" s="25">
        <f>IF(AQ150="5",BJ150,0)</f>
        <v>0</v>
      </c>
      <c r="AB150" s="25">
        <f>IF(AQ150="1",BH150,0)</f>
        <v>0</v>
      </c>
      <c r="AC150" s="25">
        <f>IF(AQ150="1",BI150,0)</f>
        <v>0</v>
      </c>
      <c r="AD150" s="25">
        <f>IF(AQ150="7",BH150,0)</f>
        <v>0</v>
      </c>
      <c r="AE150" s="25">
        <f>IF(AQ150="7",BI150,0)</f>
        <v>0</v>
      </c>
      <c r="AF150" s="25">
        <f>IF(AQ150="2",BH150,0)</f>
        <v>0</v>
      </c>
      <c r="AG150" s="25">
        <f>IF(AQ150="2",BI150,0)</f>
        <v>0</v>
      </c>
      <c r="AH150" s="25">
        <f>IF(AQ150="0",BJ150,0)</f>
        <v>0</v>
      </c>
      <c r="AI150" s="10" t="s">
        <v>48</v>
      </c>
      <c r="AJ150" s="25">
        <f>IF(AN150=0,J150,0)</f>
        <v>0</v>
      </c>
      <c r="AK150" s="25">
        <f>IF(AN150=12,J150,0)</f>
        <v>0</v>
      </c>
      <c r="AL150" s="25">
        <f>IF(AN150=21,J150,0)</f>
        <v>0</v>
      </c>
      <c r="AN150" s="25">
        <v>21</v>
      </c>
      <c r="AO150" s="25">
        <f>G150*0</f>
        <v>0</v>
      </c>
      <c r="AP150" s="25">
        <f>G150*(1-0)</f>
        <v>0</v>
      </c>
      <c r="AQ150" s="27" t="s">
        <v>349</v>
      </c>
      <c r="AV150" s="25">
        <f>AW150+AX150</f>
        <v>0</v>
      </c>
      <c r="AW150" s="25">
        <f>F150*AO150</f>
        <v>0</v>
      </c>
      <c r="AX150" s="25">
        <f>F150*AP150</f>
        <v>0</v>
      </c>
      <c r="AY150" s="27" t="s">
        <v>360</v>
      </c>
      <c r="AZ150" s="27" t="s">
        <v>351</v>
      </c>
      <c r="BA150" s="10" t="s">
        <v>58</v>
      </c>
      <c r="BC150" s="25">
        <f>AW150+AX150</f>
        <v>0</v>
      </c>
      <c r="BD150" s="25">
        <f>G150/(100-BE150)*100</f>
        <v>0</v>
      </c>
      <c r="BE150" s="25">
        <v>0</v>
      </c>
      <c r="BF150" s="25">
        <f>150</f>
        <v>150</v>
      </c>
      <c r="BH150" s="25">
        <f>F150*AO150</f>
        <v>0</v>
      </c>
      <c r="BI150" s="25">
        <f>F150*AP150</f>
        <v>0</v>
      </c>
      <c r="BJ150" s="25">
        <f>F150*G150</f>
        <v>0</v>
      </c>
      <c r="BK150" s="25"/>
      <c r="BL150" s="25"/>
      <c r="BO150" s="25">
        <f>F150*G150</f>
        <v>0</v>
      </c>
      <c r="BW150" s="25">
        <v>21</v>
      </c>
    </row>
    <row r="151" spans="1:75" ht="13.5" customHeight="1" x14ac:dyDescent="0.25">
      <c r="A151" s="2" t="s">
        <v>361</v>
      </c>
      <c r="B151" s="3" t="s">
        <v>362</v>
      </c>
      <c r="C151" s="91" t="s">
        <v>363</v>
      </c>
      <c r="D151" s="92"/>
      <c r="E151" s="3" t="s">
        <v>348</v>
      </c>
      <c r="F151" s="25">
        <v>1</v>
      </c>
      <c r="G151" s="26">
        <v>0</v>
      </c>
      <c r="H151" s="25">
        <f>F151*AO151</f>
        <v>0</v>
      </c>
      <c r="I151" s="25">
        <f>F151*AP151</f>
        <v>0</v>
      </c>
      <c r="J151" s="25">
        <f>F151*G151</f>
        <v>0</v>
      </c>
      <c r="K151" s="27" t="s">
        <v>48</v>
      </c>
      <c r="L151" s="24"/>
      <c r="Z151" s="25">
        <f>IF(AQ151="5",BJ151,0)</f>
        <v>0</v>
      </c>
      <c r="AB151" s="25">
        <f>IF(AQ151="1",BH151,0)</f>
        <v>0</v>
      </c>
      <c r="AC151" s="25">
        <f>IF(AQ151="1",BI151,0)</f>
        <v>0</v>
      </c>
      <c r="AD151" s="25">
        <f>IF(AQ151="7",BH151,0)</f>
        <v>0</v>
      </c>
      <c r="AE151" s="25">
        <f>IF(AQ151="7",BI151,0)</f>
        <v>0</v>
      </c>
      <c r="AF151" s="25">
        <f>IF(AQ151="2",BH151,0)</f>
        <v>0</v>
      </c>
      <c r="AG151" s="25">
        <f>IF(AQ151="2",BI151,0)</f>
        <v>0</v>
      </c>
      <c r="AH151" s="25">
        <f>IF(AQ151="0",BJ151,0)</f>
        <v>0</v>
      </c>
      <c r="AI151" s="10" t="s">
        <v>48</v>
      </c>
      <c r="AJ151" s="25">
        <f>IF(AN151=0,J151,0)</f>
        <v>0</v>
      </c>
      <c r="AK151" s="25">
        <f>IF(AN151=12,J151,0)</f>
        <v>0</v>
      </c>
      <c r="AL151" s="25">
        <f>IF(AN151=21,J151,0)</f>
        <v>0</v>
      </c>
      <c r="AN151" s="25">
        <v>21</v>
      </c>
      <c r="AO151" s="25">
        <f>G151*0</f>
        <v>0</v>
      </c>
      <c r="AP151" s="25">
        <f>G151*(1-0)</f>
        <v>0</v>
      </c>
      <c r="AQ151" s="27" t="s">
        <v>349</v>
      </c>
      <c r="AV151" s="25">
        <f>AW151+AX151</f>
        <v>0</v>
      </c>
      <c r="AW151" s="25">
        <f>F151*AO151</f>
        <v>0</v>
      </c>
      <c r="AX151" s="25">
        <f>F151*AP151</f>
        <v>0</v>
      </c>
      <c r="AY151" s="27" t="s">
        <v>360</v>
      </c>
      <c r="AZ151" s="27" t="s">
        <v>351</v>
      </c>
      <c r="BA151" s="10" t="s">
        <v>58</v>
      </c>
      <c r="BC151" s="25">
        <f>AW151+AX151</f>
        <v>0</v>
      </c>
      <c r="BD151" s="25">
        <f>G151/(100-BE151)*100</f>
        <v>0</v>
      </c>
      <c r="BE151" s="25">
        <v>0</v>
      </c>
      <c r="BF151" s="25">
        <f>151</f>
        <v>151</v>
      </c>
      <c r="BH151" s="25">
        <f>F151*AO151</f>
        <v>0</v>
      </c>
      <c r="BI151" s="25">
        <f>F151*AP151</f>
        <v>0</v>
      </c>
      <c r="BJ151" s="25">
        <f>F151*G151</f>
        <v>0</v>
      </c>
      <c r="BK151" s="25"/>
      <c r="BL151" s="25"/>
      <c r="BO151" s="25">
        <f>F151*G151</f>
        <v>0</v>
      </c>
      <c r="BW151" s="25">
        <v>21</v>
      </c>
    </row>
    <row r="152" spans="1:75" ht="13.5" customHeight="1" x14ac:dyDescent="0.25">
      <c r="A152" s="2" t="s">
        <v>364</v>
      </c>
      <c r="B152" s="3" t="s">
        <v>365</v>
      </c>
      <c r="C152" s="91" t="s">
        <v>366</v>
      </c>
      <c r="D152" s="92"/>
      <c r="E152" s="3" t="s">
        <v>348</v>
      </c>
      <c r="F152" s="25">
        <v>1</v>
      </c>
      <c r="G152" s="26">
        <v>0</v>
      </c>
      <c r="H152" s="25">
        <f>F152*AO152</f>
        <v>0</v>
      </c>
      <c r="I152" s="25">
        <f>F152*AP152</f>
        <v>0</v>
      </c>
      <c r="J152" s="25">
        <f>F152*G152</f>
        <v>0</v>
      </c>
      <c r="K152" s="27" t="s">
        <v>48</v>
      </c>
      <c r="L152" s="24"/>
      <c r="Z152" s="25">
        <f>IF(AQ152="5",BJ152,0)</f>
        <v>0</v>
      </c>
      <c r="AB152" s="25">
        <f>IF(AQ152="1",BH152,0)</f>
        <v>0</v>
      </c>
      <c r="AC152" s="25">
        <f>IF(AQ152="1",BI152,0)</f>
        <v>0</v>
      </c>
      <c r="AD152" s="25">
        <f>IF(AQ152="7",BH152,0)</f>
        <v>0</v>
      </c>
      <c r="AE152" s="25">
        <f>IF(AQ152="7",BI152,0)</f>
        <v>0</v>
      </c>
      <c r="AF152" s="25">
        <f>IF(AQ152="2",BH152,0)</f>
        <v>0</v>
      </c>
      <c r="AG152" s="25">
        <f>IF(AQ152="2",BI152,0)</f>
        <v>0</v>
      </c>
      <c r="AH152" s="25">
        <f>IF(AQ152="0",BJ152,0)</f>
        <v>0</v>
      </c>
      <c r="AI152" s="10" t="s">
        <v>48</v>
      </c>
      <c r="AJ152" s="25">
        <f>IF(AN152=0,J152,0)</f>
        <v>0</v>
      </c>
      <c r="AK152" s="25">
        <f>IF(AN152=12,J152,0)</f>
        <v>0</v>
      </c>
      <c r="AL152" s="25">
        <f>IF(AN152=21,J152,0)</f>
        <v>0</v>
      </c>
      <c r="AN152" s="25">
        <v>21</v>
      </c>
      <c r="AO152" s="25">
        <f>G152*0</f>
        <v>0</v>
      </c>
      <c r="AP152" s="25">
        <f>G152*(1-0)</f>
        <v>0</v>
      </c>
      <c r="AQ152" s="27" t="s">
        <v>349</v>
      </c>
      <c r="AV152" s="25">
        <f>AW152+AX152</f>
        <v>0</v>
      </c>
      <c r="AW152" s="25">
        <f>F152*AO152</f>
        <v>0</v>
      </c>
      <c r="AX152" s="25">
        <f>F152*AP152</f>
        <v>0</v>
      </c>
      <c r="AY152" s="27" t="s">
        <v>360</v>
      </c>
      <c r="AZ152" s="27" t="s">
        <v>351</v>
      </c>
      <c r="BA152" s="10" t="s">
        <v>58</v>
      </c>
      <c r="BC152" s="25">
        <f>AW152+AX152</f>
        <v>0</v>
      </c>
      <c r="BD152" s="25">
        <f>G152/(100-BE152)*100</f>
        <v>0</v>
      </c>
      <c r="BE152" s="25">
        <v>0</v>
      </c>
      <c r="BF152" s="25">
        <f>152</f>
        <v>152</v>
      </c>
      <c r="BH152" s="25">
        <f>F152*AO152</f>
        <v>0</v>
      </c>
      <c r="BI152" s="25">
        <f>F152*AP152</f>
        <v>0</v>
      </c>
      <c r="BJ152" s="25">
        <f>F152*G152</f>
        <v>0</v>
      </c>
      <c r="BK152" s="25"/>
      <c r="BL152" s="25"/>
      <c r="BO152" s="25">
        <f>F152*G152</f>
        <v>0</v>
      </c>
      <c r="BW152" s="25">
        <v>21</v>
      </c>
    </row>
    <row r="153" spans="1:75" x14ac:dyDescent="0.25">
      <c r="A153" s="30" t="s">
        <v>48</v>
      </c>
      <c r="B153" s="31" t="s">
        <v>367</v>
      </c>
      <c r="C153" s="93" t="s">
        <v>368</v>
      </c>
      <c r="D153" s="94"/>
      <c r="E153" s="32" t="s">
        <v>4</v>
      </c>
      <c r="F153" s="32" t="s">
        <v>4</v>
      </c>
      <c r="G153" s="89" t="s">
        <v>4</v>
      </c>
      <c r="H153" s="1">
        <f>SUM(H154:H154)</f>
        <v>0</v>
      </c>
      <c r="I153" s="1">
        <f>SUM(I154:I154)</f>
        <v>0</v>
      </c>
      <c r="J153" s="1">
        <f>SUM(J154:J154)</f>
        <v>0</v>
      </c>
      <c r="K153" s="10" t="s">
        <v>48</v>
      </c>
      <c r="L153" s="24"/>
      <c r="AI153" s="10" t="s">
        <v>48</v>
      </c>
      <c r="AS153" s="1">
        <f>SUM(AJ154:AJ154)</f>
        <v>0</v>
      </c>
      <c r="AT153" s="1">
        <f>SUM(AK154:AK154)</f>
        <v>0</v>
      </c>
      <c r="AU153" s="1">
        <f>SUM(AL154:AL154)</f>
        <v>0</v>
      </c>
    </row>
    <row r="154" spans="1:75" ht="13.5" customHeight="1" x14ac:dyDescent="0.25">
      <c r="A154" s="43" t="s">
        <v>369</v>
      </c>
      <c r="B154" s="44" t="s">
        <v>370</v>
      </c>
      <c r="C154" s="95" t="s">
        <v>371</v>
      </c>
      <c r="D154" s="96"/>
      <c r="E154" s="44" t="s">
        <v>348</v>
      </c>
      <c r="F154" s="45">
        <v>1</v>
      </c>
      <c r="G154" s="46">
        <v>0</v>
      </c>
      <c r="H154" s="45">
        <f>F154*AO154</f>
        <v>0</v>
      </c>
      <c r="I154" s="45">
        <f>F154*AP154</f>
        <v>0</v>
      </c>
      <c r="J154" s="45">
        <f>F154*G154</f>
        <v>0</v>
      </c>
      <c r="K154" s="47" t="s">
        <v>48</v>
      </c>
      <c r="L154" s="48"/>
      <c r="Z154" s="25">
        <f>IF(AQ154="5",BJ154,0)</f>
        <v>0</v>
      </c>
      <c r="AB154" s="25">
        <f>IF(AQ154="1",BH154,0)</f>
        <v>0</v>
      </c>
      <c r="AC154" s="25">
        <f>IF(AQ154="1",BI154,0)</f>
        <v>0</v>
      </c>
      <c r="AD154" s="25">
        <f>IF(AQ154="7",BH154,0)</f>
        <v>0</v>
      </c>
      <c r="AE154" s="25">
        <f>IF(AQ154="7",BI154,0)</f>
        <v>0</v>
      </c>
      <c r="AF154" s="25">
        <f>IF(AQ154="2",BH154,0)</f>
        <v>0</v>
      </c>
      <c r="AG154" s="25">
        <f>IF(AQ154="2",BI154,0)</f>
        <v>0</v>
      </c>
      <c r="AH154" s="25">
        <f>IF(AQ154="0",BJ154,0)</f>
        <v>0</v>
      </c>
      <c r="AI154" s="10" t="s">
        <v>48</v>
      </c>
      <c r="AJ154" s="25">
        <f>IF(AN154=0,J154,0)</f>
        <v>0</v>
      </c>
      <c r="AK154" s="25">
        <f>IF(AN154=12,J154,0)</f>
        <v>0</v>
      </c>
      <c r="AL154" s="25">
        <f>IF(AN154=21,J154,0)</f>
        <v>0</v>
      </c>
      <c r="AN154" s="25">
        <v>21</v>
      </c>
      <c r="AO154" s="25">
        <f>G154*0</f>
        <v>0</v>
      </c>
      <c r="AP154" s="25">
        <f>G154*(1-0)</f>
        <v>0</v>
      </c>
      <c r="AQ154" s="27" t="s">
        <v>349</v>
      </c>
      <c r="AV154" s="25">
        <f>AW154+AX154</f>
        <v>0</v>
      </c>
      <c r="AW154" s="25">
        <f>F154*AO154</f>
        <v>0</v>
      </c>
      <c r="AX154" s="25">
        <f>F154*AP154</f>
        <v>0</v>
      </c>
      <c r="AY154" s="27" t="s">
        <v>372</v>
      </c>
      <c r="AZ154" s="27" t="s">
        <v>351</v>
      </c>
      <c r="BA154" s="10" t="s">
        <v>58</v>
      </c>
      <c r="BC154" s="25">
        <f>AW154+AX154</f>
        <v>0</v>
      </c>
      <c r="BD154" s="25">
        <f>G154/(100-BE154)*100</f>
        <v>0</v>
      </c>
      <c r="BE154" s="25">
        <v>0</v>
      </c>
      <c r="BF154" s="25">
        <f>154</f>
        <v>154</v>
      </c>
      <c r="BH154" s="25">
        <f>F154*AO154</f>
        <v>0</v>
      </c>
      <c r="BI154" s="25">
        <f>F154*AP154</f>
        <v>0</v>
      </c>
      <c r="BJ154" s="25">
        <f>F154*G154</f>
        <v>0</v>
      </c>
      <c r="BK154" s="25"/>
      <c r="BL154" s="25"/>
      <c r="BR154" s="25">
        <f>F154*G154</f>
        <v>0</v>
      </c>
      <c r="BW154" s="25">
        <v>21</v>
      </c>
    </row>
    <row r="155" spans="1:75" x14ac:dyDescent="0.25">
      <c r="H155" s="90" t="s">
        <v>373</v>
      </c>
      <c r="I155" s="90"/>
      <c r="J155" s="49">
        <f>J12+J17+J20+J22+J38+J40+J49+J64+J68+J85+J96+J99+J102+J111+J113+J115+J122+J124+J126+J145+J149+J153</f>
        <v>0</v>
      </c>
    </row>
    <row r="156" spans="1:75" x14ac:dyDescent="0.25">
      <c r="A156" s="50" t="s">
        <v>374</v>
      </c>
    </row>
    <row r="157" spans="1:75" ht="12.75" customHeight="1" x14ac:dyDescent="0.25">
      <c r="A157" s="91" t="s">
        <v>48</v>
      </c>
      <c r="B157" s="92"/>
      <c r="C157" s="92"/>
      <c r="D157" s="92"/>
      <c r="E157" s="92"/>
      <c r="F157" s="92"/>
      <c r="G157" s="92"/>
      <c r="H157" s="92"/>
      <c r="I157" s="92"/>
      <c r="J157" s="92"/>
      <c r="K157" s="92"/>
      <c r="L157" s="92"/>
    </row>
  </sheetData>
  <sheetProtection algorithmName="SHA-512" hashValue="PkrrwCKO+UKGeh71YXisoHf+KLB0U1XzIOcnDuozzgNw9EBxnhig8IFtJtvSo33YUUq2wbh3khexv7dj9NFktQ==" saltValue="bdWXEdt1Ws4MusO9em2+kw==" spinCount="100000" sheet="1" objects="1" scenarios="1"/>
  <mergeCells count="173">
    <mergeCell ref="A1:L1"/>
    <mergeCell ref="A2:B3"/>
    <mergeCell ref="A4:B5"/>
    <mergeCell ref="A6:B7"/>
    <mergeCell ref="A8:B9"/>
    <mergeCell ref="G2:H3"/>
    <mergeCell ref="G4:H5"/>
    <mergeCell ref="G6:H7"/>
    <mergeCell ref="G8:H9"/>
    <mergeCell ref="J2:J3"/>
    <mergeCell ref="J4:J5"/>
    <mergeCell ref="J6:J7"/>
    <mergeCell ref="J8:J9"/>
    <mergeCell ref="C2:F3"/>
    <mergeCell ref="C4:F5"/>
    <mergeCell ref="C6:F7"/>
    <mergeCell ref="C11:D11"/>
    <mergeCell ref="H10:J10"/>
    <mergeCell ref="C12:D12"/>
    <mergeCell ref="C13:D13"/>
    <mergeCell ref="C14:L14"/>
    <mergeCell ref="K2:L3"/>
    <mergeCell ref="K4:L5"/>
    <mergeCell ref="K6:L7"/>
    <mergeCell ref="K8:L9"/>
    <mergeCell ref="C10:D10"/>
    <mergeCell ref="C8:F9"/>
    <mergeCell ref="I2:I3"/>
    <mergeCell ref="I4:I5"/>
    <mergeCell ref="I6:I7"/>
    <mergeCell ref="I8:I9"/>
    <mergeCell ref="C20:D20"/>
    <mergeCell ref="C21:D21"/>
    <mergeCell ref="C22:D22"/>
    <mergeCell ref="C23:D23"/>
    <mergeCell ref="C24:D24"/>
    <mergeCell ref="C15:D15"/>
    <mergeCell ref="C16:L16"/>
    <mergeCell ref="C17:D17"/>
    <mergeCell ref="C18:D18"/>
    <mergeCell ref="C19:L19"/>
    <mergeCell ref="C30:L30"/>
    <mergeCell ref="C31:L31"/>
    <mergeCell ref="C32:D32"/>
    <mergeCell ref="C33:D33"/>
    <mergeCell ref="C34:D34"/>
    <mergeCell ref="C25:L25"/>
    <mergeCell ref="C26:D26"/>
    <mergeCell ref="C27:L27"/>
    <mergeCell ref="C28:L28"/>
    <mergeCell ref="C29:D29"/>
    <mergeCell ref="C40:D40"/>
    <mergeCell ref="C41:D41"/>
    <mergeCell ref="C42:L42"/>
    <mergeCell ref="C43:D43"/>
    <mergeCell ref="C44:L44"/>
    <mergeCell ref="C35:D35"/>
    <mergeCell ref="C36:L36"/>
    <mergeCell ref="C37:L37"/>
    <mergeCell ref="C38:D38"/>
    <mergeCell ref="C39:D39"/>
    <mergeCell ref="C50:D50"/>
    <mergeCell ref="C51:L51"/>
    <mergeCell ref="C52:L52"/>
    <mergeCell ref="C53:D53"/>
    <mergeCell ref="C54:L54"/>
    <mergeCell ref="C45:D45"/>
    <mergeCell ref="C46:L46"/>
    <mergeCell ref="C47:D47"/>
    <mergeCell ref="C48:L48"/>
    <mergeCell ref="C49:D49"/>
    <mergeCell ref="C60:L60"/>
    <mergeCell ref="C61:L61"/>
    <mergeCell ref="C62:D62"/>
    <mergeCell ref="C63:L63"/>
    <mergeCell ref="C64:D64"/>
    <mergeCell ref="C55:L55"/>
    <mergeCell ref="C56:D56"/>
    <mergeCell ref="C57:L57"/>
    <mergeCell ref="C58:L58"/>
    <mergeCell ref="C59:D59"/>
    <mergeCell ref="C70:L70"/>
    <mergeCell ref="C71:D71"/>
    <mergeCell ref="C72:L72"/>
    <mergeCell ref="C73:D73"/>
    <mergeCell ref="C74:L74"/>
    <mergeCell ref="C65:D65"/>
    <mergeCell ref="C66:L66"/>
    <mergeCell ref="C67:D67"/>
    <mergeCell ref="C68:D68"/>
    <mergeCell ref="C69:D69"/>
    <mergeCell ref="C80:D80"/>
    <mergeCell ref="C81:L81"/>
    <mergeCell ref="C82:L82"/>
    <mergeCell ref="C83:D83"/>
    <mergeCell ref="C84:L84"/>
    <mergeCell ref="C75:L75"/>
    <mergeCell ref="C76:D76"/>
    <mergeCell ref="C77:L77"/>
    <mergeCell ref="C78:D78"/>
    <mergeCell ref="C79:L79"/>
    <mergeCell ref="C90:D90"/>
    <mergeCell ref="C91:D91"/>
    <mergeCell ref="C92:L92"/>
    <mergeCell ref="C93:D93"/>
    <mergeCell ref="C94:L94"/>
    <mergeCell ref="C85:D85"/>
    <mergeCell ref="C86:D86"/>
    <mergeCell ref="C87:D87"/>
    <mergeCell ref="C88:L88"/>
    <mergeCell ref="C89:D89"/>
    <mergeCell ref="C100:D100"/>
    <mergeCell ref="C101:L101"/>
    <mergeCell ref="C102:D102"/>
    <mergeCell ref="C103:D103"/>
    <mergeCell ref="C104:L104"/>
    <mergeCell ref="C95:L95"/>
    <mergeCell ref="C96:D96"/>
    <mergeCell ref="C97:D97"/>
    <mergeCell ref="C98:L98"/>
    <mergeCell ref="C99:D99"/>
    <mergeCell ref="C110:L110"/>
    <mergeCell ref="C111:D111"/>
    <mergeCell ref="C112:D112"/>
    <mergeCell ref="C113:D113"/>
    <mergeCell ref="C114:D114"/>
    <mergeCell ref="C105:D105"/>
    <mergeCell ref="C106:L106"/>
    <mergeCell ref="C107:D107"/>
    <mergeCell ref="C108:L108"/>
    <mergeCell ref="C109:D109"/>
    <mergeCell ref="C120:L120"/>
    <mergeCell ref="C121:L121"/>
    <mergeCell ref="C122:D122"/>
    <mergeCell ref="C123:D123"/>
    <mergeCell ref="C124:D124"/>
    <mergeCell ref="C115:D115"/>
    <mergeCell ref="C116:D116"/>
    <mergeCell ref="C117:L117"/>
    <mergeCell ref="C118:L118"/>
    <mergeCell ref="C119:D119"/>
    <mergeCell ref="C130:L130"/>
    <mergeCell ref="C131:D131"/>
    <mergeCell ref="C132:L132"/>
    <mergeCell ref="C133:D133"/>
    <mergeCell ref="C134:L134"/>
    <mergeCell ref="C125:D125"/>
    <mergeCell ref="C126:D126"/>
    <mergeCell ref="C127:D127"/>
    <mergeCell ref="C128:L128"/>
    <mergeCell ref="C129:D129"/>
    <mergeCell ref="C140:L140"/>
    <mergeCell ref="C141:D141"/>
    <mergeCell ref="C142:D142"/>
    <mergeCell ref="C143:L143"/>
    <mergeCell ref="C144:D144"/>
    <mergeCell ref="C135:D135"/>
    <mergeCell ref="C136:L136"/>
    <mergeCell ref="C137:D137"/>
    <mergeCell ref="C138:L138"/>
    <mergeCell ref="C139:D139"/>
    <mergeCell ref="H155:I155"/>
    <mergeCell ref="A157:L157"/>
    <mergeCell ref="C150:D150"/>
    <mergeCell ref="C151:D151"/>
    <mergeCell ref="C152:D152"/>
    <mergeCell ref="C153:D153"/>
    <mergeCell ref="C154:D154"/>
    <mergeCell ref="C145:D145"/>
    <mergeCell ref="C146:D146"/>
    <mergeCell ref="C147:D147"/>
    <mergeCell ref="C148:L148"/>
    <mergeCell ref="C149:D149"/>
  </mergeCells>
  <pageMargins left="0.393999993801117" right="0.393999993801117" top="0.59100002050399802" bottom="0.59100002050399802" header="0" footer="0"/>
  <pageSetup fitToHeight="0"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4"/>
  <sheetViews>
    <sheetView workbookViewId="0">
      <pane ySplit="11" topLeftCell="A12" activePane="bottomLeft" state="frozen"/>
      <selection pane="bottomLeft" activeCell="N24" sqref="N24"/>
    </sheetView>
  </sheetViews>
  <sheetFormatPr defaultColWidth="12.140625" defaultRowHeight="15" customHeight="1" x14ac:dyDescent="0.25"/>
  <cols>
    <col min="1" max="2" width="8.5703125" customWidth="1"/>
    <col min="3" max="3" width="71.42578125" customWidth="1"/>
    <col min="4" max="4" width="12.140625" customWidth="1"/>
    <col min="5" max="7" width="27.85546875" customWidth="1"/>
    <col min="8" max="9" width="0" hidden="1" customWidth="1"/>
  </cols>
  <sheetData>
    <row r="1" spans="1:9" ht="54.75" customHeight="1" x14ac:dyDescent="0.25">
      <c r="A1" s="129" t="s">
        <v>375</v>
      </c>
      <c r="B1" s="129"/>
      <c r="C1" s="129"/>
      <c r="D1" s="129"/>
      <c r="E1" s="129"/>
      <c r="F1" s="129"/>
      <c r="G1" s="129"/>
    </row>
    <row r="2" spans="1:9" x14ac:dyDescent="0.25">
      <c r="A2" s="130" t="s">
        <v>1</v>
      </c>
      <c r="B2" s="116"/>
      <c r="C2" s="135" t="str">
        <f>'Stavební rozpočet'!C2</f>
        <v>Hala posypových hmot SO01 Růžodol</v>
      </c>
      <c r="D2" s="116" t="s">
        <v>3</v>
      </c>
      <c r="E2" s="116" t="s">
        <v>4</v>
      </c>
      <c r="F2" s="134" t="s">
        <v>5</v>
      </c>
      <c r="G2" s="138" t="str">
        <f>'Stavební rozpočet'!K2</f>
        <v> </v>
      </c>
    </row>
    <row r="3" spans="1:9" ht="15" customHeight="1" x14ac:dyDescent="0.25">
      <c r="A3" s="131"/>
      <c r="B3" s="92"/>
      <c r="C3" s="137"/>
      <c r="D3" s="92"/>
      <c r="E3" s="92"/>
      <c r="F3" s="92"/>
      <c r="G3" s="118"/>
    </row>
    <row r="4" spans="1:9" x14ac:dyDescent="0.25">
      <c r="A4" s="132" t="s">
        <v>7</v>
      </c>
      <c r="B4" s="92"/>
      <c r="C4" s="91" t="str">
        <f>'Stavební rozpočet'!C4</f>
        <v>Sklad</v>
      </c>
      <c r="D4" s="92" t="s">
        <v>9</v>
      </c>
      <c r="E4" s="92" t="s">
        <v>10</v>
      </c>
      <c r="F4" s="91" t="s">
        <v>11</v>
      </c>
      <c r="G4" s="139" t="str">
        <f>'Stavební rozpočet'!K4</f>
        <v> </v>
      </c>
    </row>
    <row r="5" spans="1:9" ht="15" customHeight="1" x14ac:dyDescent="0.25">
      <c r="A5" s="131"/>
      <c r="B5" s="92"/>
      <c r="C5" s="92"/>
      <c r="D5" s="92"/>
      <c r="E5" s="92"/>
      <c r="F5" s="92"/>
      <c r="G5" s="118"/>
    </row>
    <row r="6" spans="1:9" x14ac:dyDescent="0.25">
      <c r="A6" s="132" t="s">
        <v>12</v>
      </c>
      <c r="B6" s="92"/>
      <c r="C6" s="91" t="str">
        <f>'Stavební rozpočet'!C6</f>
        <v>Růžodol</v>
      </c>
      <c r="D6" s="92" t="s">
        <v>14</v>
      </c>
      <c r="E6" s="92" t="s">
        <v>4</v>
      </c>
      <c r="F6" s="91" t="s">
        <v>15</v>
      </c>
      <c r="G6" s="140"/>
    </row>
    <row r="7" spans="1:9" ht="15" customHeight="1" x14ac:dyDescent="0.25">
      <c r="A7" s="131"/>
      <c r="B7" s="92"/>
      <c r="C7" s="92"/>
      <c r="D7" s="92"/>
      <c r="E7" s="92"/>
      <c r="F7" s="92"/>
      <c r="G7" s="140"/>
    </row>
    <row r="8" spans="1:9" x14ac:dyDescent="0.25">
      <c r="A8" s="132" t="s">
        <v>18</v>
      </c>
      <c r="B8" s="92"/>
      <c r="C8" s="91" t="str">
        <f>'Stavební rozpočet'!K8</f>
        <v> </v>
      </c>
      <c r="D8" s="92" t="s">
        <v>17</v>
      </c>
      <c r="E8" s="92" t="s">
        <v>10</v>
      </c>
      <c r="F8" s="92" t="s">
        <v>17</v>
      </c>
      <c r="G8" s="139" t="str">
        <f>'Stavební rozpočet'!I8</f>
        <v>27.02.2024</v>
      </c>
    </row>
    <row r="9" spans="1:9" x14ac:dyDescent="0.25">
      <c r="A9" s="133"/>
      <c r="B9" s="127"/>
      <c r="C9" s="127"/>
      <c r="D9" s="96"/>
      <c r="E9" s="127"/>
      <c r="F9" s="127"/>
      <c r="G9" s="141"/>
    </row>
    <row r="10" spans="1:9" x14ac:dyDescent="0.25">
      <c r="A10" s="51" t="s">
        <v>376</v>
      </c>
      <c r="B10" s="52" t="s">
        <v>20</v>
      </c>
      <c r="C10" s="53" t="s">
        <v>377</v>
      </c>
      <c r="E10" s="54" t="s">
        <v>378</v>
      </c>
      <c r="F10" s="55" t="s">
        <v>379</v>
      </c>
      <c r="G10" s="55" t="s">
        <v>380</v>
      </c>
    </row>
    <row r="11" spans="1:9" x14ac:dyDescent="0.25">
      <c r="A11" s="56" t="s">
        <v>48</v>
      </c>
      <c r="B11" s="57" t="s">
        <v>49</v>
      </c>
      <c r="C11" s="92" t="s">
        <v>50</v>
      </c>
      <c r="D11" s="92"/>
      <c r="E11" s="58">
        <f>'Stavební rozpočet'!H12</f>
        <v>0</v>
      </c>
      <c r="F11" s="58">
        <f>'Stavební rozpočet'!I12</f>
        <v>0</v>
      </c>
      <c r="G11" s="58">
        <f>'Stavební rozpočet'!J12</f>
        <v>0</v>
      </c>
      <c r="H11" s="27" t="s">
        <v>381</v>
      </c>
      <c r="I11" s="25">
        <f t="shared" ref="I11:I33" si="0">IF(H11="F",0,G11)</f>
        <v>0</v>
      </c>
    </row>
    <row r="12" spans="1:9" x14ac:dyDescent="0.25">
      <c r="A12" s="2" t="s">
        <v>48</v>
      </c>
      <c r="B12" s="3" t="s">
        <v>65</v>
      </c>
      <c r="C12" s="92" t="s">
        <v>66</v>
      </c>
      <c r="D12" s="92"/>
      <c r="E12" s="25">
        <f>'Stavební rozpočet'!H17</f>
        <v>0</v>
      </c>
      <c r="F12" s="25">
        <f>'Stavební rozpočet'!I17</f>
        <v>0</v>
      </c>
      <c r="G12" s="25">
        <f>'Stavební rozpočet'!J17</f>
        <v>0</v>
      </c>
      <c r="H12" s="27" t="s">
        <v>381</v>
      </c>
      <c r="I12" s="25">
        <f t="shared" si="0"/>
        <v>0</v>
      </c>
    </row>
    <row r="13" spans="1:9" x14ac:dyDescent="0.25">
      <c r="A13" s="2" t="s">
        <v>48</v>
      </c>
      <c r="B13" s="3" t="s">
        <v>73</v>
      </c>
      <c r="C13" s="92" t="s">
        <v>74</v>
      </c>
      <c r="D13" s="92"/>
      <c r="E13" s="25">
        <f>'Stavební rozpočet'!H20</f>
        <v>0</v>
      </c>
      <c r="F13" s="25">
        <f>'Stavební rozpočet'!I20</f>
        <v>0</v>
      </c>
      <c r="G13" s="25">
        <f>'Stavební rozpočet'!J20</f>
        <v>0</v>
      </c>
      <c r="H13" s="27" t="s">
        <v>381</v>
      </c>
      <c r="I13" s="25">
        <f t="shared" si="0"/>
        <v>0</v>
      </c>
    </row>
    <row r="14" spans="1:9" x14ac:dyDescent="0.25">
      <c r="A14" s="2" t="s">
        <v>48</v>
      </c>
      <c r="B14" s="3" t="s">
        <v>79</v>
      </c>
      <c r="C14" s="92" t="s">
        <v>80</v>
      </c>
      <c r="D14" s="92"/>
      <c r="E14" s="25">
        <f>'Stavební rozpočet'!H22</f>
        <v>0</v>
      </c>
      <c r="F14" s="25">
        <f>'Stavební rozpočet'!I22</f>
        <v>0</v>
      </c>
      <c r="G14" s="25">
        <f>'Stavební rozpočet'!J22</f>
        <v>0</v>
      </c>
      <c r="H14" s="27" t="s">
        <v>381</v>
      </c>
      <c r="I14" s="25">
        <f t="shared" si="0"/>
        <v>0</v>
      </c>
    </row>
    <row r="15" spans="1:9" x14ac:dyDescent="0.25">
      <c r="A15" s="2" t="s">
        <v>48</v>
      </c>
      <c r="B15" s="3" t="s">
        <v>111</v>
      </c>
      <c r="C15" s="92" t="s">
        <v>112</v>
      </c>
      <c r="D15" s="92"/>
      <c r="E15" s="25">
        <f>'Stavební rozpočet'!H38</f>
        <v>0</v>
      </c>
      <c r="F15" s="25">
        <f>'Stavební rozpočet'!I38</f>
        <v>0</v>
      </c>
      <c r="G15" s="25">
        <f>'Stavební rozpočet'!J38</f>
        <v>0</v>
      </c>
      <c r="H15" s="27" t="s">
        <v>381</v>
      </c>
      <c r="I15" s="25">
        <f t="shared" si="0"/>
        <v>0</v>
      </c>
    </row>
    <row r="16" spans="1:9" x14ac:dyDescent="0.25">
      <c r="A16" s="2" t="s">
        <v>48</v>
      </c>
      <c r="B16" s="3" t="s">
        <v>116</v>
      </c>
      <c r="C16" s="92" t="s">
        <v>117</v>
      </c>
      <c r="D16" s="92"/>
      <c r="E16" s="25">
        <f>'Stavební rozpočet'!H40</f>
        <v>0</v>
      </c>
      <c r="F16" s="25">
        <f>'Stavební rozpočet'!I40</f>
        <v>0</v>
      </c>
      <c r="G16" s="25">
        <f>'Stavební rozpočet'!J40</f>
        <v>0</v>
      </c>
      <c r="H16" s="27" t="s">
        <v>381</v>
      </c>
      <c r="I16" s="25">
        <f t="shared" si="0"/>
        <v>0</v>
      </c>
    </row>
    <row r="17" spans="1:9" x14ac:dyDescent="0.25">
      <c r="A17" s="2" t="s">
        <v>48</v>
      </c>
      <c r="B17" s="3" t="s">
        <v>135</v>
      </c>
      <c r="C17" s="92" t="s">
        <v>136</v>
      </c>
      <c r="D17" s="92"/>
      <c r="E17" s="25">
        <f>'Stavební rozpočet'!H49</f>
        <v>0</v>
      </c>
      <c r="F17" s="25">
        <f>'Stavební rozpočet'!I49</f>
        <v>0</v>
      </c>
      <c r="G17" s="25">
        <f>'Stavební rozpočet'!J49</f>
        <v>0</v>
      </c>
      <c r="H17" s="27" t="s">
        <v>381</v>
      </c>
      <c r="I17" s="25">
        <f t="shared" si="0"/>
        <v>0</v>
      </c>
    </row>
    <row r="18" spans="1:9" x14ac:dyDescent="0.25">
      <c r="A18" s="2" t="s">
        <v>48</v>
      </c>
      <c r="B18" s="3" t="s">
        <v>163</v>
      </c>
      <c r="C18" s="92" t="s">
        <v>164</v>
      </c>
      <c r="D18" s="92"/>
      <c r="E18" s="25">
        <f>'Stavební rozpočet'!H64</f>
        <v>0</v>
      </c>
      <c r="F18" s="25">
        <f>'Stavební rozpočet'!I64</f>
        <v>0</v>
      </c>
      <c r="G18" s="25">
        <f>'Stavební rozpočet'!J64</f>
        <v>0</v>
      </c>
      <c r="H18" s="27" t="s">
        <v>381</v>
      </c>
      <c r="I18" s="25">
        <f t="shared" si="0"/>
        <v>0</v>
      </c>
    </row>
    <row r="19" spans="1:9" x14ac:dyDescent="0.25">
      <c r="A19" s="2" t="s">
        <v>48</v>
      </c>
      <c r="B19" s="3" t="s">
        <v>173</v>
      </c>
      <c r="C19" s="92" t="s">
        <v>174</v>
      </c>
      <c r="D19" s="92"/>
      <c r="E19" s="25">
        <f>'Stavební rozpočet'!H68</f>
        <v>0</v>
      </c>
      <c r="F19" s="25">
        <f>'Stavební rozpočet'!I68</f>
        <v>0</v>
      </c>
      <c r="G19" s="25">
        <f>'Stavební rozpočet'!J68</f>
        <v>0</v>
      </c>
      <c r="H19" s="27" t="s">
        <v>381</v>
      </c>
      <c r="I19" s="25">
        <f t="shared" si="0"/>
        <v>0</v>
      </c>
    </row>
    <row r="20" spans="1:9" x14ac:dyDescent="0.25">
      <c r="A20" s="2" t="s">
        <v>48</v>
      </c>
      <c r="B20" s="3" t="s">
        <v>205</v>
      </c>
      <c r="C20" s="92" t="s">
        <v>206</v>
      </c>
      <c r="D20" s="92"/>
      <c r="E20" s="25">
        <f>'Stavební rozpočet'!H85</f>
        <v>0</v>
      </c>
      <c r="F20" s="25">
        <f>'Stavební rozpočet'!I85</f>
        <v>0</v>
      </c>
      <c r="G20" s="25">
        <f>'Stavební rozpočet'!J85</f>
        <v>0</v>
      </c>
      <c r="H20" s="27" t="s">
        <v>381</v>
      </c>
      <c r="I20" s="25">
        <f t="shared" si="0"/>
        <v>0</v>
      </c>
    </row>
    <row r="21" spans="1:9" x14ac:dyDescent="0.25">
      <c r="A21" s="2" t="s">
        <v>48</v>
      </c>
      <c r="B21" s="3" t="s">
        <v>231</v>
      </c>
      <c r="C21" s="92" t="s">
        <v>232</v>
      </c>
      <c r="D21" s="92"/>
      <c r="E21" s="25">
        <f>'Stavební rozpočet'!H96</f>
        <v>0</v>
      </c>
      <c r="F21" s="25">
        <f>'Stavební rozpočet'!I96</f>
        <v>0</v>
      </c>
      <c r="G21" s="25">
        <f>'Stavební rozpočet'!J96</f>
        <v>0</v>
      </c>
      <c r="H21" s="27" t="s">
        <v>381</v>
      </c>
      <c r="I21" s="25">
        <f t="shared" si="0"/>
        <v>0</v>
      </c>
    </row>
    <row r="22" spans="1:9" x14ac:dyDescent="0.25">
      <c r="A22" s="2" t="s">
        <v>48</v>
      </c>
      <c r="B22" s="3" t="s">
        <v>238</v>
      </c>
      <c r="C22" s="92" t="s">
        <v>239</v>
      </c>
      <c r="D22" s="92"/>
      <c r="E22" s="25">
        <f>'Stavební rozpočet'!H99</f>
        <v>0</v>
      </c>
      <c r="F22" s="25">
        <f>'Stavební rozpočet'!I99</f>
        <v>0</v>
      </c>
      <c r="G22" s="25">
        <f>'Stavební rozpočet'!J99</f>
        <v>0</v>
      </c>
      <c r="H22" s="27" t="s">
        <v>381</v>
      </c>
      <c r="I22" s="25">
        <f t="shared" si="0"/>
        <v>0</v>
      </c>
    </row>
    <row r="23" spans="1:9" x14ac:dyDescent="0.25">
      <c r="A23" s="2" t="s">
        <v>48</v>
      </c>
      <c r="B23" s="3" t="s">
        <v>246</v>
      </c>
      <c r="C23" s="92" t="s">
        <v>247</v>
      </c>
      <c r="D23" s="92"/>
      <c r="E23" s="25">
        <f>'Stavební rozpočet'!H102</f>
        <v>0</v>
      </c>
      <c r="F23" s="25">
        <f>'Stavební rozpočet'!I102</f>
        <v>0</v>
      </c>
      <c r="G23" s="25">
        <f>'Stavební rozpočet'!J102</f>
        <v>0</v>
      </c>
      <c r="H23" s="27" t="s">
        <v>381</v>
      </c>
      <c r="I23" s="25">
        <f t="shared" si="0"/>
        <v>0</v>
      </c>
    </row>
    <row r="24" spans="1:9" x14ac:dyDescent="0.25">
      <c r="A24" s="2" t="s">
        <v>48</v>
      </c>
      <c r="B24" s="3" t="s">
        <v>266</v>
      </c>
      <c r="C24" s="92" t="s">
        <v>267</v>
      </c>
      <c r="D24" s="92"/>
      <c r="E24" s="25">
        <f>'Stavební rozpočet'!H111</f>
        <v>0</v>
      </c>
      <c r="F24" s="25">
        <f>'Stavební rozpočet'!I111</f>
        <v>0</v>
      </c>
      <c r="G24" s="25">
        <f>'Stavební rozpočet'!J111</f>
        <v>0</v>
      </c>
      <c r="H24" s="27" t="s">
        <v>381</v>
      </c>
      <c r="I24" s="25">
        <f t="shared" si="0"/>
        <v>0</v>
      </c>
    </row>
    <row r="25" spans="1:9" x14ac:dyDescent="0.25">
      <c r="A25" s="2" t="s">
        <v>48</v>
      </c>
      <c r="B25" s="3" t="s">
        <v>273</v>
      </c>
      <c r="C25" s="92" t="s">
        <v>274</v>
      </c>
      <c r="D25" s="92"/>
      <c r="E25" s="25">
        <f>'Stavební rozpočet'!H113</f>
        <v>0</v>
      </c>
      <c r="F25" s="25">
        <f>'Stavební rozpočet'!I113</f>
        <v>0</v>
      </c>
      <c r="G25" s="25">
        <f>'Stavební rozpočet'!J113</f>
        <v>0</v>
      </c>
      <c r="H25" s="27" t="s">
        <v>381</v>
      </c>
      <c r="I25" s="25">
        <f t="shared" si="0"/>
        <v>0</v>
      </c>
    </row>
    <row r="26" spans="1:9" x14ac:dyDescent="0.25">
      <c r="A26" s="2" t="s">
        <v>48</v>
      </c>
      <c r="B26" s="3" t="s">
        <v>280</v>
      </c>
      <c r="C26" s="92" t="s">
        <v>281</v>
      </c>
      <c r="D26" s="92"/>
      <c r="E26" s="25">
        <f>'Stavební rozpočet'!H115</f>
        <v>0</v>
      </c>
      <c r="F26" s="25">
        <f>'Stavební rozpočet'!I115</f>
        <v>0</v>
      </c>
      <c r="G26" s="25">
        <f>'Stavební rozpočet'!J115</f>
        <v>0</v>
      </c>
      <c r="H26" s="27" t="s">
        <v>381</v>
      </c>
      <c r="I26" s="25">
        <f t="shared" si="0"/>
        <v>0</v>
      </c>
    </row>
    <row r="27" spans="1:9" x14ac:dyDescent="0.25">
      <c r="A27" s="2" t="s">
        <v>48</v>
      </c>
      <c r="B27" s="3" t="s">
        <v>292</v>
      </c>
      <c r="C27" s="92" t="s">
        <v>293</v>
      </c>
      <c r="D27" s="92"/>
      <c r="E27" s="25">
        <f>'Stavební rozpočet'!H122</f>
        <v>0</v>
      </c>
      <c r="F27" s="25">
        <f>'Stavební rozpočet'!I122</f>
        <v>0</v>
      </c>
      <c r="G27" s="25">
        <f>'Stavební rozpočet'!J122</f>
        <v>0</v>
      </c>
      <c r="H27" s="27" t="s">
        <v>381</v>
      </c>
      <c r="I27" s="25">
        <f t="shared" si="0"/>
        <v>0</v>
      </c>
    </row>
    <row r="28" spans="1:9" x14ac:dyDescent="0.25">
      <c r="A28" s="2" t="s">
        <v>48</v>
      </c>
      <c r="B28" s="3" t="s">
        <v>298</v>
      </c>
      <c r="C28" s="92" t="s">
        <v>136</v>
      </c>
      <c r="D28" s="92"/>
      <c r="E28" s="25">
        <f>'Stavební rozpočet'!H124</f>
        <v>0</v>
      </c>
      <c r="F28" s="25">
        <f>'Stavební rozpočet'!I124</f>
        <v>0</v>
      </c>
      <c r="G28" s="25">
        <f>'Stavební rozpočet'!J124</f>
        <v>0</v>
      </c>
      <c r="H28" s="27" t="s">
        <v>381</v>
      </c>
      <c r="I28" s="25">
        <f t="shared" si="0"/>
        <v>0</v>
      </c>
    </row>
    <row r="29" spans="1:9" x14ac:dyDescent="0.25">
      <c r="A29" s="2" t="s">
        <v>48</v>
      </c>
      <c r="B29" s="3" t="s">
        <v>48</v>
      </c>
      <c r="C29" s="92" t="s">
        <v>303</v>
      </c>
      <c r="D29" s="92"/>
      <c r="E29" s="25">
        <f>'Stavební rozpočet'!H126</f>
        <v>0</v>
      </c>
      <c r="F29" s="25">
        <f>'Stavební rozpočet'!I126</f>
        <v>0</v>
      </c>
      <c r="G29" s="25">
        <f>'Stavební rozpočet'!J126</f>
        <v>0</v>
      </c>
      <c r="H29" s="27" t="s">
        <v>381</v>
      </c>
      <c r="I29" s="25">
        <f t="shared" si="0"/>
        <v>0</v>
      </c>
    </row>
    <row r="30" spans="1:9" x14ac:dyDescent="0.25">
      <c r="A30" s="2" t="s">
        <v>48</v>
      </c>
      <c r="B30" s="3" t="s">
        <v>48</v>
      </c>
      <c r="C30" s="92" t="s">
        <v>342</v>
      </c>
      <c r="D30" s="92"/>
      <c r="E30" s="25">
        <f>'Stavební rozpočet'!H144</f>
        <v>0</v>
      </c>
      <c r="F30" s="25">
        <f>'Stavební rozpočet'!I144</f>
        <v>0</v>
      </c>
      <c r="G30" s="25">
        <f>'Stavební rozpočet'!J144</f>
        <v>0</v>
      </c>
      <c r="H30" s="27" t="s">
        <v>382</v>
      </c>
      <c r="I30" s="25">
        <f t="shared" si="0"/>
        <v>0</v>
      </c>
    </row>
    <row r="31" spans="1:9" x14ac:dyDescent="0.25">
      <c r="A31" s="2" t="s">
        <v>48</v>
      </c>
      <c r="B31" s="3" t="s">
        <v>343</v>
      </c>
      <c r="C31" s="92" t="s">
        <v>344</v>
      </c>
      <c r="D31" s="92"/>
      <c r="E31" s="25">
        <f>'Stavební rozpočet'!H145</f>
        <v>0</v>
      </c>
      <c r="F31" s="25">
        <f>'Stavební rozpočet'!I145</f>
        <v>0</v>
      </c>
      <c r="G31" s="25">
        <f>'Stavební rozpočet'!J145</f>
        <v>0</v>
      </c>
      <c r="H31" s="27" t="s">
        <v>381</v>
      </c>
      <c r="I31" s="25">
        <f t="shared" si="0"/>
        <v>0</v>
      </c>
    </row>
    <row r="32" spans="1:9" x14ac:dyDescent="0.25">
      <c r="A32" s="2" t="s">
        <v>48</v>
      </c>
      <c r="B32" s="3" t="s">
        <v>356</v>
      </c>
      <c r="C32" s="92" t="s">
        <v>357</v>
      </c>
      <c r="D32" s="92"/>
      <c r="E32" s="25">
        <f>'Stavební rozpočet'!H149</f>
        <v>0</v>
      </c>
      <c r="F32" s="25">
        <f>'Stavební rozpočet'!I149</f>
        <v>0</v>
      </c>
      <c r="G32" s="25">
        <f>'Stavební rozpočet'!J149</f>
        <v>0</v>
      </c>
      <c r="H32" s="27" t="s">
        <v>381</v>
      </c>
      <c r="I32" s="25">
        <f t="shared" si="0"/>
        <v>0</v>
      </c>
    </row>
    <row r="33" spans="1:9" x14ac:dyDescent="0.25">
      <c r="A33" s="2" t="s">
        <v>48</v>
      </c>
      <c r="B33" s="3" t="s">
        <v>367</v>
      </c>
      <c r="C33" s="92" t="s">
        <v>368</v>
      </c>
      <c r="D33" s="92"/>
      <c r="E33" s="25">
        <f>'Stavební rozpočet'!H153</f>
        <v>0</v>
      </c>
      <c r="F33" s="25">
        <f>'Stavební rozpočet'!I153</f>
        <v>0</v>
      </c>
      <c r="G33" s="25">
        <f>'Stavební rozpočet'!J153</f>
        <v>0</v>
      </c>
      <c r="H33" s="27" t="s">
        <v>381</v>
      </c>
      <c r="I33" s="25">
        <f t="shared" si="0"/>
        <v>0</v>
      </c>
    </row>
    <row r="34" spans="1:9" x14ac:dyDescent="0.25">
      <c r="F34" s="4" t="s">
        <v>373</v>
      </c>
      <c r="G34" s="59">
        <f>SUM(I11:I33)</f>
        <v>0</v>
      </c>
    </row>
  </sheetData>
  <sheetProtection algorithmName="SHA-512" hashValue="n4xAXMNtN7jd3plMshrQUg+JfbSOztxcbRftTTHiKkQeuRC4hhrNLbMKPQFL0f9TUk6azQLdhlA31ZMkPiAOXQ==" saltValue="sg4Z++zRO3LTVg6bzc0fSQ==" spinCount="100000" sheet="1" formatCells="0" formatColumns="0" formatRows="0" insertColumns="0" insertRows="0" insertHyperlinks="0" deleteColumns="0" deleteRows="0" sort="0" autoFilter="0" pivotTables="0"/>
  <mergeCells count="48">
    <mergeCell ref="A1:G1"/>
    <mergeCell ref="A2:B3"/>
    <mergeCell ref="A4:B5"/>
    <mergeCell ref="A6:B7"/>
    <mergeCell ref="A8:B9"/>
    <mergeCell ref="D2:D3"/>
    <mergeCell ref="D4:D5"/>
    <mergeCell ref="D6:D7"/>
    <mergeCell ref="D8:D9"/>
    <mergeCell ref="F2:F3"/>
    <mergeCell ref="F4:F5"/>
    <mergeCell ref="F6:F7"/>
    <mergeCell ref="F8:F9"/>
    <mergeCell ref="C2:C3"/>
    <mergeCell ref="C4:C5"/>
    <mergeCell ref="C6:C7"/>
    <mergeCell ref="G2:G3"/>
    <mergeCell ref="G4:G5"/>
    <mergeCell ref="G6:G7"/>
    <mergeCell ref="G8:G9"/>
    <mergeCell ref="C11:D11"/>
    <mergeCell ref="C8:C9"/>
    <mergeCell ref="E2:E3"/>
    <mergeCell ref="E4:E5"/>
    <mergeCell ref="E6:E7"/>
    <mergeCell ref="E8:E9"/>
    <mergeCell ref="C12:D12"/>
    <mergeCell ref="C13:D13"/>
    <mergeCell ref="C14:D14"/>
    <mergeCell ref="C15:D15"/>
    <mergeCell ref="C16:D16"/>
    <mergeCell ref="C17:D17"/>
    <mergeCell ref="C18:D18"/>
    <mergeCell ref="C19:D19"/>
    <mergeCell ref="C20:D20"/>
    <mergeCell ref="C21:D21"/>
    <mergeCell ref="C22:D22"/>
    <mergeCell ref="C23:D23"/>
    <mergeCell ref="C24:D24"/>
    <mergeCell ref="C25:D25"/>
    <mergeCell ref="C26:D26"/>
    <mergeCell ref="C32:D32"/>
    <mergeCell ref="C33:D33"/>
    <mergeCell ref="C27:D27"/>
    <mergeCell ref="C28:D28"/>
    <mergeCell ref="C29:D29"/>
    <mergeCell ref="C30:D30"/>
    <mergeCell ref="C31:D31"/>
  </mergeCells>
  <pageMargins left="0.393999993801117" right="0.393999993801117" top="0.59100002050399802" bottom="0.59100002050399802" header="0" footer="0"/>
  <pageSetup fitToHeight="0"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13"/>
  <sheetViews>
    <sheetView workbookViewId="0">
      <selection activeCell="F6" sqref="F6:G7"/>
    </sheetView>
  </sheetViews>
  <sheetFormatPr defaultColWidth="12.140625" defaultRowHeight="15" customHeight="1" x14ac:dyDescent="0.25"/>
  <cols>
    <col min="1" max="2" width="9.140625" customWidth="1"/>
    <col min="3" max="3" width="14.28515625" customWidth="1"/>
    <col min="4" max="4" width="42.85546875" customWidth="1"/>
    <col min="5" max="5" width="14.28515625" customWidth="1"/>
    <col min="6" max="6" width="24.140625" customWidth="1"/>
    <col min="7" max="7" width="15.7109375" customWidth="1"/>
    <col min="8" max="8" width="20" customWidth="1"/>
  </cols>
  <sheetData>
    <row r="1" spans="1:8" ht="54.75" customHeight="1" x14ac:dyDescent="0.25">
      <c r="A1" s="129" t="s">
        <v>383</v>
      </c>
      <c r="B1" s="129"/>
      <c r="C1" s="129"/>
      <c r="D1" s="129"/>
      <c r="E1" s="129"/>
      <c r="F1" s="129"/>
      <c r="G1" s="129"/>
      <c r="H1" s="129"/>
    </row>
    <row r="2" spans="1:8" x14ac:dyDescent="0.25">
      <c r="A2" s="130" t="s">
        <v>1</v>
      </c>
      <c r="B2" s="116"/>
      <c r="C2" s="135" t="str">
        <f>'Stavební rozpočet'!C2</f>
        <v>Hala posypových hmot SO01 Růžodol</v>
      </c>
      <c r="D2" s="136"/>
      <c r="E2" s="134" t="s">
        <v>5</v>
      </c>
      <c r="F2" s="134" t="str">
        <f>'Stavební rozpočet'!K2</f>
        <v> </v>
      </c>
      <c r="G2" s="116"/>
      <c r="H2" s="117"/>
    </row>
    <row r="3" spans="1:8" ht="15" customHeight="1" x14ac:dyDescent="0.25">
      <c r="A3" s="131"/>
      <c r="B3" s="92"/>
      <c r="C3" s="137"/>
      <c r="D3" s="137"/>
      <c r="E3" s="92"/>
      <c r="F3" s="92"/>
      <c r="G3" s="92"/>
      <c r="H3" s="118"/>
    </row>
    <row r="4" spans="1:8" x14ac:dyDescent="0.25">
      <c r="A4" s="132" t="s">
        <v>7</v>
      </c>
      <c r="B4" s="92"/>
      <c r="C4" s="91" t="str">
        <f>'Stavební rozpočet'!C4</f>
        <v>Sklad</v>
      </c>
      <c r="D4" s="92"/>
      <c r="E4" s="91" t="s">
        <v>11</v>
      </c>
      <c r="F4" s="91" t="str">
        <f>'Stavební rozpočet'!K4</f>
        <v> </v>
      </c>
      <c r="G4" s="92"/>
      <c r="H4" s="118"/>
    </row>
    <row r="5" spans="1:8" ht="15" customHeight="1" x14ac:dyDescent="0.25">
      <c r="A5" s="131"/>
      <c r="B5" s="92"/>
      <c r="C5" s="92"/>
      <c r="D5" s="92"/>
      <c r="E5" s="92"/>
      <c r="F5" s="92"/>
      <c r="G5" s="92"/>
      <c r="H5" s="118"/>
    </row>
    <row r="6" spans="1:8" x14ac:dyDescent="0.25">
      <c r="A6" s="132" t="s">
        <v>12</v>
      </c>
      <c r="B6" s="92"/>
      <c r="C6" s="91" t="str">
        <f>'Stavební rozpočet'!C6</f>
        <v>Růžodol</v>
      </c>
      <c r="D6" s="92"/>
      <c r="E6" s="91" t="s">
        <v>15</v>
      </c>
      <c r="F6" s="119" t="str">
        <f>'Stavební rozpočet'!K6</f>
        <v> </v>
      </c>
      <c r="G6" s="144"/>
      <c r="H6" s="145"/>
    </row>
    <row r="7" spans="1:8" ht="15" customHeight="1" x14ac:dyDescent="0.25">
      <c r="A7" s="131"/>
      <c r="B7" s="92"/>
      <c r="C7" s="92"/>
      <c r="D7" s="92"/>
      <c r="E7" s="92"/>
      <c r="F7" s="119"/>
      <c r="G7" s="144"/>
      <c r="H7" s="145"/>
    </row>
    <row r="8" spans="1:8" x14ac:dyDescent="0.25">
      <c r="A8" s="132" t="s">
        <v>18</v>
      </c>
      <c r="B8" s="92"/>
      <c r="C8" s="91" t="str">
        <f>'Stavební rozpočet'!K8</f>
        <v> </v>
      </c>
      <c r="D8" s="92"/>
      <c r="E8" s="91" t="s">
        <v>17</v>
      </c>
      <c r="F8" s="91" t="str">
        <f>'Stavební rozpočet'!I8</f>
        <v>27.02.2024</v>
      </c>
      <c r="G8" s="92"/>
      <c r="H8" s="118"/>
    </row>
    <row r="9" spans="1:8" x14ac:dyDescent="0.25">
      <c r="A9" s="133"/>
      <c r="B9" s="127"/>
      <c r="C9" s="127"/>
      <c r="D9" s="127"/>
      <c r="E9" s="127"/>
      <c r="F9" s="127"/>
      <c r="G9" s="127"/>
      <c r="H9" s="141"/>
    </row>
    <row r="10" spans="1:8" x14ac:dyDescent="0.25">
      <c r="A10" s="60" t="s">
        <v>19</v>
      </c>
      <c r="B10" s="61" t="s">
        <v>376</v>
      </c>
      <c r="C10" s="61" t="s">
        <v>20</v>
      </c>
      <c r="D10" s="142" t="s">
        <v>21</v>
      </c>
      <c r="E10" s="143"/>
      <c r="F10" s="61" t="s">
        <v>22</v>
      </c>
      <c r="G10" s="62" t="s">
        <v>23</v>
      </c>
      <c r="H10" s="63" t="s">
        <v>384</v>
      </c>
    </row>
    <row r="12" spans="1:8" x14ac:dyDescent="0.25">
      <c r="A12" s="50" t="s">
        <v>374</v>
      </c>
    </row>
    <row r="13" spans="1:8" ht="12.75" customHeight="1" x14ac:dyDescent="0.25">
      <c r="A13" s="91" t="s">
        <v>48</v>
      </c>
      <c r="B13" s="92"/>
      <c r="C13" s="92"/>
      <c r="D13" s="92"/>
      <c r="E13" s="92"/>
      <c r="F13" s="92"/>
      <c r="G13" s="92"/>
    </row>
  </sheetData>
  <sheetProtection algorithmName="SHA-512" hashValue="TfZgP2ELBW5Z2NaGCiwSfuZwkBRGIYVw8hlxqT3QxTwxPTjxTuZCFqwXVlr0Y/I7YdpvAffDboYYnzhGlnsqRg==" saltValue="z5NbAJvsz7z7rnQApwuPQA==" spinCount="100000" sheet="1" formatCells="0" formatColumns="0" formatRows="0" insertColumns="0" insertRows="0" insertHyperlinks="0" deleteColumns="0" deleteRows="0" sort="0" autoFilter="0" pivotTables="0"/>
  <mergeCells count="20">
    <mergeCell ref="A1:H1"/>
    <mergeCell ref="A2:B3"/>
    <mergeCell ref="A4:B5"/>
    <mergeCell ref="A6:B7"/>
    <mergeCell ref="A8:B9"/>
    <mergeCell ref="E2:E3"/>
    <mergeCell ref="E4:E5"/>
    <mergeCell ref="E6:E7"/>
    <mergeCell ref="E8:E9"/>
    <mergeCell ref="C2:D3"/>
    <mergeCell ref="C4:D5"/>
    <mergeCell ref="C6:D7"/>
    <mergeCell ref="C8:D9"/>
    <mergeCell ref="F2:H3"/>
    <mergeCell ref="F4:H5"/>
    <mergeCell ref="F8:H9"/>
    <mergeCell ref="D10:E10"/>
    <mergeCell ref="A13:G13"/>
    <mergeCell ref="F6:G7"/>
    <mergeCell ref="H6:H7"/>
  </mergeCells>
  <pageMargins left="0.393999993801117" right="0.393999993801117" top="0.59100002050399802" bottom="0.59100002050399802" header="0" footer="0"/>
  <pageSetup fitToHeight="0"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37"/>
  <sheetViews>
    <sheetView workbookViewId="0">
      <selection activeCell="I6" sqref="I6:I7"/>
    </sheetView>
  </sheetViews>
  <sheetFormatPr defaultColWidth="12.140625" defaultRowHeight="15" customHeight="1" x14ac:dyDescent="0.25"/>
  <cols>
    <col min="1" max="1" width="9.140625" customWidth="1"/>
    <col min="2" max="2" width="12.85546875" customWidth="1"/>
    <col min="3" max="3" width="27.140625" customWidth="1"/>
    <col min="4" max="4" width="10" customWidth="1"/>
    <col min="5" max="5" width="14" customWidth="1"/>
    <col min="6" max="6" width="27.140625" customWidth="1"/>
    <col min="7" max="7" width="9.140625" customWidth="1"/>
    <col min="8" max="8" width="12.85546875" customWidth="1"/>
    <col min="9" max="9" width="27.140625" customWidth="1"/>
  </cols>
  <sheetData>
    <row r="1" spans="1:9" ht="54.75" customHeight="1" x14ac:dyDescent="0.25">
      <c r="A1" s="181" t="s">
        <v>385</v>
      </c>
      <c r="B1" s="129"/>
      <c r="C1" s="129"/>
      <c r="D1" s="129"/>
      <c r="E1" s="129"/>
      <c r="F1" s="129"/>
      <c r="G1" s="129"/>
      <c r="H1" s="129"/>
      <c r="I1" s="129"/>
    </row>
    <row r="2" spans="1:9" x14ac:dyDescent="0.25">
      <c r="A2" s="130" t="s">
        <v>1</v>
      </c>
      <c r="B2" s="116"/>
      <c r="C2" s="135" t="str">
        <f>'Stavební rozpočet'!C2</f>
        <v>Hala posypových hmot SO01 Růžodol</v>
      </c>
      <c r="D2" s="136"/>
      <c r="E2" s="134" t="s">
        <v>5</v>
      </c>
      <c r="F2" s="134" t="str">
        <f>'Stavební rozpočet'!K2</f>
        <v> </v>
      </c>
      <c r="G2" s="116"/>
      <c r="H2" s="134" t="s">
        <v>386</v>
      </c>
      <c r="I2" s="117" t="s">
        <v>48</v>
      </c>
    </row>
    <row r="3" spans="1:9" ht="15" customHeight="1" x14ac:dyDescent="0.25">
      <c r="A3" s="131"/>
      <c r="B3" s="92"/>
      <c r="C3" s="137"/>
      <c r="D3" s="137"/>
      <c r="E3" s="92"/>
      <c r="F3" s="92"/>
      <c r="G3" s="92"/>
      <c r="H3" s="92"/>
      <c r="I3" s="118"/>
    </row>
    <row r="4" spans="1:9" x14ac:dyDescent="0.25">
      <c r="A4" s="132" t="s">
        <v>7</v>
      </c>
      <c r="B4" s="92"/>
      <c r="C4" s="91" t="str">
        <f>'Stavební rozpočet'!C4</f>
        <v>Sklad</v>
      </c>
      <c r="D4" s="92"/>
      <c r="E4" s="91" t="s">
        <v>11</v>
      </c>
      <c r="F4" s="91" t="str">
        <f>'Stavební rozpočet'!K4</f>
        <v> </v>
      </c>
      <c r="G4" s="92"/>
      <c r="H4" s="91" t="s">
        <v>386</v>
      </c>
      <c r="I4" s="118" t="s">
        <v>48</v>
      </c>
    </row>
    <row r="5" spans="1:9" ht="15" customHeight="1" x14ac:dyDescent="0.25">
      <c r="A5" s="131"/>
      <c r="B5" s="92"/>
      <c r="C5" s="92"/>
      <c r="D5" s="92"/>
      <c r="E5" s="92"/>
      <c r="F5" s="92"/>
      <c r="G5" s="92"/>
      <c r="H5" s="92"/>
      <c r="I5" s="118"/>
    </row>
    <row r="6" spans="1:9" x14ac:dyDescent="0.25">
      <c r="A6" s="132" t="s">
        <v>12</v>
      </c>
      <c r="B6" s="92"/>
      <c r="C6" s="91" t="str">
        <f>'Stavební rozpočet'!C6</f>
        <v>Růžodol</v>
      </c>
      <c r="D6" s="92"/>
      <c r="E6" s="91" t="s">
        <v>15</v>
      </c>
      <c r="F6" s="144" t="str">
        <f>'Stavební rozpočet'!K6</f>
        <v> </v>
      </c>
      <c r="G6" s="144"/>
      <c r="H6" s="91" t="s">
        <v>386</v>
      </c>
      <c r="I6" s="118" t="s">
        <v>48</v>
      </c>
    </row>
    <row r="7" spans="1:9" ht="15" customHeight="1" x14ac:dyDescent="0.25">
      <c r="A7" s="131"/>
      <c r="B7" s="92"/>
      <c r="C7" s="92"/>
      <c r="D7" s="92"/>
      <c r="E7" s="92"/>
      <c r="F7" s="144"/>
      <c r="G7" s="144"/>
      <c r="H7" s="92"/>
      <c r="I7" s="118"/>
    </row>
    <row r="8" spans="1:9" x14ac:dyDescent="0.25">
      <c r="A8" s="132" t="s">
        <v>9</v>
      </c>
      <c r="B8" s="92"/>
      <c r="C8" s="91" t="str">
        <f>'Stavební rozpočet'!I4</f>
        <v>27.02.2024</v>
      </c>
      <c r="D8" s="92"/>
      <c r="E8" s="91" t="s">
        <v>14</v>
      </c>
      <c r="F8" s="91" t="str">
        <f>'Stavební rozpočet'!I6</f>
        <v xml:space="preserve"> </v>
      </c>
      <c r="G8" s="92"/>
      <c r="H8" s="92" t="s">
        <v>387</v>
      </c>
      <c r="I8" s="182">
        <v>64</v>
      </c>
    </row>
    <row r="9" spans="1:9" x14ac:dyDescent="0.25">
      <c r="A9" s="131"/>
      <c r="B9" s="92"/>
      <c r="C9" s="92"/>
      <c r="D9" s="92"/>
      <c r="E9" s="92"/>
      <c r="F9" s="92"/>
      <c r="G9" s="92"/>
      <c r="H9" s="92"/>
      <c r="I9" s="118"/>
    </row>
    <row r="10" spans="1:9" x14ac:dyDescent="0.25">
      <c r="A10" s="132" t="s">
        <v>16</v>
      </c>
      <c r="B10" s="92"/>
      <c r="C10" s="91" t="str">
        <f>'Stavební rozpočet'!C8</f>
        <v xml:space="preserve"> </v>
      </c>
      <c r="D10" s="92"/>
      <c r="E10" s="91" t="s">
        <v>18</v>
      </c>
      <c r="F10" s="91" t="str">
        <f>'Stavební rozpočet'!K8</f>
        <v> </v>
      </c>
      <c r="G10" s="92"/>
      <c r="H10" s="92" t="s">
        <v>388</v>
      </c>
      <c r="I10" s="139" t="str">
        <f>'Stavební rozpočet'!I8</f>
        <v>27.02.2024</v>
      </c>
    </row>
    <row r="11" spans="1:9" x14ac:dyDescent="0.25">
      <c r="A11" s="180"/>
      <c r="B11" s="96"/>
      <c r="C11" s="96"/>
      <c r="D11" s="96"/>
      <c r="E11" s="96"/>
      <c r="F11" s="96"/>
      <c r="G11" s="96"/>
      <c r="H11" s="96"/>
      <c r="I11" s="176"/>
    </row>
    <row r="12" spans="1:9" ht="23.25" x14ac:dyDescent="0.25">
      <c r="A12" s="177" t="s">
        <v>389</v>
      </c>
      <c r="B12" s="177"/>
      <c r="C12" s="177"/>
      <c r="D12" s="177"/>
      <c r="E12" s="177"/>
      <c r="F12" s="177"/>
      <c r="G12" s="177"/>
      <c r="H12" s="177"/>
      <c r="I12" s="177"/>
    </row>
    <row r="13" spans="1:9" ht="26.25" customHeight="1" x14ac:dyDescent="0.25">
      <c r="A13" s="64" t="s">
        <v>390</v>
      </c>
      <c r="B13" s="178" t="s">
        <v>391</v>
      </c>
      <c r="C13" s="179"/>
      <c r="D13" s="65" t="s">
        <v>392</v>
      </c>
      <c r="E13" s="178" t="s">
        <v>393</v>
      </c>
      <c r="F13" s="179"/>
      <c r="G13" s="65" t="s">
        <v>394</v>
      </c>
      <c r="H13" s="178" t="s">
        <v>395</v>
      </c>
      <c r="I13" s="179"/>
    </row>
    <row r="14" spans="1:9" ht="15.75" x14ac:dyDescent="0.25">
      <c r="A14" s="66" t="s">
        <v>396</v>
      </c>
      <c r="B14" s="67" t="s">
        <v>397</v>
      </c>
      <c r="C14" s="68">
        <f>SUM('Stavební rozpočet'!AB12:AB154)</f>
        <v>0</v>
      </c>
      <c r="D14" s="166" t="s">
        <v>398</v>
      </c>
      <c r="E14" s="167"/>
      <c r="F14" s="68">
        <f>VORN!I15</f>
        <v>0</v>
      </c>
      <c r="G14" s="166" t="s">
        <v>357</v>
      </c>
      <c r="H14" s="167"/>
      <c r="I14" s="69">
        <f>VORN!I21</f>
        <v>0</v>
      </c>
    </row>
    <row r="15" spans="1:9" ht="15.75" x14ac:dyDescent="0.25">
      <c r="A15" s="70" t="s">
        <v>48</v>
      </c>
      <c r="B15" s="67" t="s">
        <v>33</v>
      </c>
      <c r="C15" s="68">
        <f>SUM('Stavební rozpočet'!AC12:AC154)</f>
        <v>0</v>
      </c>
      <c r="D15" s="166" t="s">
        <v>399</v>
      </c>
      <c r="E15" s="167"/>
      <c r="F15" s="68">
        <f>VORN!I16</f>
        <v>0</v>
      </c>
      <c r="G15" s="166" t="s">
        <v>400</v>
      </c>
      <c r="H15" s="167"/>
      <c r="I15" s="69">
        <f>VORN!I22</f>
        <v>0</v>
      </c>
    </row>
    <row r="16" spans="1:9" ht="15.75" x14ac:dyDescent="0.25">
      <c r="A16" s="66" t="s">
        <v>401</v>
      </c>
      <c r="B16" s="67" t="s">
        <v>397</v>
      </c>
      <c r="C16" s="68">
        <f>SUM('Stavební rozpočet'!AD12:AD154)</f>
        <v>0</v>
      </c>
      <c r="D16" s="166" t="s">
        <v>402</v>
      </c>
      <c r="E16" s="167"/>
      <c r="F16" s="68">
        <f>VORN!I17</f>
        <v>0</v>
      </c>
      <c r="G16" s="166" t="s">
        <v>368</v>
      </c>
      <c r="H16" s="167"/>
      <c r="I16" s="69">
        <f>VORN!I23</f>
        <v>0</v>
      </c>
    </row>
    <row r="17" spans="1:9" ht="15.75" x14ac:dyDescent="0.25">
      <c r="A17" s="70" t="s">
        <v>48</v>
      </c>
      <c r="B17" s="67" t="s">
        <v>33</v>
      </c>
      <c r="C17" s="68">
        <f>SUM('Stavební rozpočet'!AE12:AE154)</f>
        <v>0</v>
      </c>
      <c r="D17" s="166" t="s">
        <v>48</v>
      </c>
      <c r="E17" s="167"/>
      <c r="F17" s="69" t="s">
        <v>48</v>
      </c>
      <c r="G17" s="166" t="s">
        <v>403</v>
      </c>
      <c r="H17" s="167"/>
      <c r="I17" s="69">
        <f>VORN!I24</f>
        <v>0</v>
      </c>
    </row>
    <row r="18" spans="1:9" ht="15.75" x14ac:dyDescent="0.25">
      <c r="A18" s="66" t="s">
        <v>404</v>
      </c>
      <c r="B18" s="67" t="s">
        <v>397</v>
      </c>
      <c r="C18" s="68">
        <f>SUM('Stavební rozpočet'!AF12:AF154)</f>
        <v>0</v>
      </c>
      <c r="D18" s="166" t="s">
        <v>48</v>
      </c>
      <c r="E18" s="167"/>
      <c r="F18" s="69" t="s">
        <v>48</v>
      </c>
      <c r="G18" s="166" t="s">
        <v>405</v>
      </c>
      <c r="H18" s="167"/>
      <c r="I18" s="69">
        <f>VORN!I25</f>
        <v>0</v>
      </c>
    </row>
    <row r="19" spans="1:9" ht="15.75" x14ac:dyDescent="0.25">
      <c r="A19" s="70" t="s">
        <v>48</v>
      </c>
      <c r="B19" s="67" t="s">
        <v>33</v>
      </c>
      <c r="C19" s="68">
        <f>SUM('Stavební rozpočet'!AG12:AG154)</f>
        <v>0</v>
      </c>
      <c r="D19" s="166" t="s">
        <v>48</v>
      </c>
      <c r="E19" s="167"/>
      <c r="F19" s="69" t="s">
        <v>48</v>
      </c>
      <c r="G19" s="166" t="s">
        <v>406</v>
      </c>
      <c r="H19" s="167"/>
      <c r="I19" s="69">
        <f>VORN!I26</f>
        <v>0</v>
      </c>
    </row>
    <row r="20" spans="1:9" ht="15.75" x14ac:dyDescent="0.25">
      <c r="A20" s="158" t="s">
        <v>303</v>
      </c>
      <c r="B20" s="159"/>
      <c r="C20" s="68">
        <f>SUM('Stavební rozpočet'!AH12:AH154)</f>
        <v>0</v>
      </c>
      <c r="D20" s="166" t="s">
        <v>48</v>
      </c>
      <c r="E20" s="167"/>
      <c r="F20" s="69" t="s">
        <v>48</v>
      </c>
      <c r="G20" s="166" t="s">
        <v>48</v>
      </c>
      <c r="H20" s="167"/>
      <c r="I20" s="69" t="s">
        <v>48</v>
      </c>
    </row>
    <row r="21" spans="1:9" ht="15.75" x14ac:dyDescent="0.25">
      <c r="A21" s="173" t="s">
        <v>407</v>
      </c>
      <c r="B21" s="174"/>
      <c r="C21" s="71">
        <f>SUM('Stavební rozpočet'!Z12:Z154)</f>
        <v>0</v>
      </c>
      <c r="D21" s="168" t="s">
        <v>48</v>
      </c>
      <c r="E21" s="169"/>
      <c r="F21" s="72" t="s">
        <v>48</v>
      </c>
      <c r="G21" s="168" t="s">
        <v>48</v>
      </c>
      <c r="H21" s="169"/>
      <c r="I21" s="72" t="s">
        <v>48</v>
      </c>
    </row>
    <row r="22" spans="1:9" ht="16.5" customHeight="1" x14ac:dyDescent="0.25">
      <c r="A22" s="175" t="s">
        <v>408</v>
      </c>
      <c r="B22" s="171"/>
      <c r="C22" s="73">
        <f>SUM(C14:C21)</f>
        <v>0</v>
      </c>
      <c r="D22" s="170" t="s">
        <v>409</v>
      </c>
      <c r="E22" s="171"/>
      <c r="F22" s="73">
        <f>SUM(F14:F21)</f>
        <v>0</v>
      </c>
      <c r="G22" s="170" t="s">
        <v>410</v>
      </c>
      <c r="H22" s="171"/>
      <c r="I22" s="73">
        <f>SUM(I14:I21)</f>
        <v>0</v>
      </c>
    </row>
    <row r="23" spans="1:9" ht="15.75" x14ac:dyDescent="0.25">
      <c r="D23" s="158" t="s">
        <v>411</v>
      </c>
      <c r="E23" s="159"/>
      <c r="F23" s="74">
        <v>0</v>
      </c>
      <c r="G23" s="172" t="s">
        <v>412</v>
      </c>
      <c r="H23" s="159"/>
      <c r="I23" s="68">
        <v>0</v>
      </c>
    </row>
    <row r="24" spans="1:9" ht="15.75" x14ac:dyDescent="0.25">
      <c r="G24" s="158" t="s">
        <v>413</v>
      </c>
      <c r="H24" s="159"/>
      <c r="I24" s="71">
        <f>vorn_sum</f>
        <v>0</v>
      </c>
    </row>
    <row r="25" spans="1:9" ht="15.75" x14ac:dyDescent="0.25">
      <c r="G25" s="158" t="s">
        <v>414</v>
      </c>
      <c r="H25" s="159"/>
      <c r="I25" s="73">
        <v>0</v>
      </c>
    </row>
    <row r="27" spans="1:9" ht="15.75" x14ac:dyDescent="0.25">
      <c r="A27" s="160" t="s">
        <v>415</v>
      </c>
      <c r="B27" s="161"/>
      <c r="C27" s="75">
        <f>SUM('Stavební rozpočet'!AJ12:AJ154)</f>
        <v>0</v>
      </c>
    </row>
    <row r="28" spans="1:9" ht="15.75" x14ac:dyDescent="0.25">
      <c r="A28" s="162" t="s">
        <v>416</v>
      </c>
      <c r="B28" s="163"/>
      <c r="C28" s="76">
        <f>SUM('Stavební rozpočet'!AK12:AK154)</f>
        <v>0</v>
      </c>
      <c r="D28" s="164" t="s">
        <v>417</v>
      </c>
      <c r="E28" s="161"/>
      <c r="F28" s="75">
        <f>ROUND(C28*(12/100),2)</f>
        <v>0</v>
      </c>
      <c r="G28" s="164" t="s">
        <v>418</v>
      </c>
      <c r="H28" s="161"/>
      <c r="I28" s="75">
        <f>SUM(C27:C29)</f>
        <v>0</v>
      </c>
    </row>
    <row r="29" spans="1:9" ht="15.75" x14ac:dyDescent="0.25">
      <c r="A29" s="162" t="s">
        <v>419</v>
      </c>
      <c r="B29" s="163"/>
      <c r="C29" s="76">
        <f>SUM('Stavební rozpočet'!AL12:AL154)</f>
        <v>0</v>
      </c>
      <c r="D29" s="165" t="s">
        <v>420</v>
      </c>
      <c r="E29" s="163"/>
      <c r="F29" s="76">
        <f>ROUND(C29*(21/100),2)</f>
        <v>0</v>
      </c>
      <c r="G29" s="165" t="s">
        <v>421</v>
      </c>
      <c r="H29" s="163"/>
      <c r="I29" s="76">
        <f>SUM(F28:F29)+I28</f>
        <v>0</v>
      </c>
    </row>
    <row r="31" spans="1:9" x14ac:dyDescent="0.25">
      <c r="A31" s="155" t="s">
        <v>422</v>
      </c>
      <c r="B31" s="147"/>
      <c r="C31" s="148"/>
      <c r="D31" s="146" t="s">
        <v>423</v>
      </c>
      <c r="E31" s="147"/>
      <c r="F31" s="148"/>
      <c r="G31" s="146" t="s">
        <v>424</v>
      </c>
      <c r="H31" s="147"/>
      <c r="I31" s="148"/>
    </row>
    <row r="32" spans="1:9" x14ac:dyDescent="0.25">
      <c r="A32" s="156" t="s">
        <v>48</v>
      </c>
      <c r="B32" s="150"/>
      <c r="C32" s="151"/>
      <c r="D32" s="149" t="s">
        <v>48</v>
      </c>
      <c r="E32" s="150"/>
      <c r="F32" s="151"/>
      <c r="G32" s="149" t="s">
        <v>48</v>
      </c>
      <c r="H32" s="150"/>
      <c r="I32" s="151"/>
    </row>
    <row r="33" spans="1:9" x14ac:dyDescent="0.25">
      <c r="A33" s="156" t="s">
        <v>48</v>
      </c>
      <c r="B33" s="150"/>
      <c r="C33" s="151"/>
      <c r="D33" s="149" t="s">
        <v>48</v>
      </c>
      <c r="E33" s="150"/>
      <c r="F33" s="151"/>
      <c r="G33" s="149" t="s">
        <v>48</v>
      </c>
      <c r="H33" s="150"/>
      <c r="I33" s="151"/>
    </row>
    <row r="34" spans="1:9" x14ac:dyDescent="0.25">
      <c r="A34" s="156" t="s">
        <v>48</v>
      </c>
      <c r="B34" s="150"/>
      <c r="C34" s="151"/>
      <c r="D34" s="149" t="s">
        <v>48</v>
      </c>
      <c r="E34" s="150"/>
      <c r="F34" s="151"/>
      <c r="G34" s="149" t="s">
        <v>48</v>
      </c>
      <c r="H34" s="150"/>
      <c r="I34" s="151"/>
    </row>
    <row r="35" spans="1:9" x14ac:dyDescent="0.25">
      <c r="A35" s="157" t="s">
        <v>425</v>
      </c>
      <c r="B35" s="153"/>
      <c r="C35" s="154"/>
      <c r="D35" s="152" t="s">
        <v>425</v>
      </c>
      <c r="E35" s="153"/>
      <c r="F35" s="154"/>
      <c r="G35" s="152" t="s">
        <v>425</v>
      </c>
      <c r="H35" s="153"/>
      <c r="I35" s="154"/>
    </row>
    <row r="36" spans="1:9" x14ac:dyDescent="0.25">
      <c r="A36" s="77" t="s">
        <v>374</v>
      </c>
    </row>
    <row r="37" spans="1:9" ht="12.75" customHeight="1" x14ac:dyDescent="0.25">
      <c r="A37" s="91" t="s">
        <v>48</v>
      </c>
      <c r="B37" s="92"/>
      <c r="C37" s="92"/>
      <c r="D37" s="92"/>
      <c r="E37" s="92"/>
      <c r="F37" s="92"/>
      <c r="G37" s="92"/>
      <c r="H37" s="92"/>
      <c r="I37" s="92"/>
    </row>
  </sheetData>
  <sheetProtection algorithmName="SHA-512" hashValue="Fr05ozFR/V06iJiwWvvRrn2ytDZC6ycZ4WyPDU+eKfrvWp+4LbUq7aRH4aSKSeXWt2enzQR92V2Ixn+np2TKCA==" saltValue="bGvnuYyLpoNU6a+CeHUv7Q==" spinCount="100000" sheet="1" formatCells="0" formatColumns="0" formatRows="0" insertColumns="0" insertRows="0" insertHyperlinks="0" deleteColumns="0" deleteRows="0" sort="0" autoFilter="0" pivotTables="0"/>
  <mergeCells count="83">
    <mergeCell ref="A1:I1"/>
    <mergeCell ref="A2:B3"/>
    <mergeCell ref="A4:B5"/>
    <mergeCell ref="A6:B7"/>
    <mergeCell ref="A8:B9"/>
    <mergeCell ref="F2:G3"/>
    <mergeCell ref="F4:G5"/>
    <mergeCell ref="F6:G7"/>
    <mergeCell ref="F8:G9"/>
    <mergeCell ref="I2:I3"/>
    <mergeCell ref="I4:I5"/>
    <mergeCell ref="I6:I7"/>
    <mergeCell ref="I8:I9"/>
    <mergeCell ref="C2:D3"/>
    <mergeCell ref="C4:D5"/>
    <mergeCell ref="C6:D7"/>
    <mergeCell ref="C8:D9"/>
    <mergeCell ref="C10:D11"/>
    <mergeCell ref="E2:E3"/>
    <mergeCell ref="E4:E5"/>
    <mergeCell ref="E6:E7"/>
    <mergeCell ref="E8:E9"/>
    <mergeCell ref="E10:E11"/>
    <mergeCell ref="H2:H3"/>
    <mergeCell ref="H4:H5"/>
    <mergeCell ref="H6:H7"/>
    <mergeCell ref="H8:H9"/>
    <mergeCell ref="H10:H11"/>
    <mergeCell ref="I10:I11"/>
    <mergeCell ref="A12:I12"/>
    <mergeCell ref="B13:C13"/>
    <mergeCell ref="E13:F13"/>
    <mergeCell ref="H13:I13"/>
    <mergeCell ref="F10:G11"/>
    <mergeCell ref="A10:B11"/>
    <mergeCell ref="A20:B20"/>
    <mergeCell ref="A21:B21"/>
    <mergeCell ref="A22:B22"/>
    <mergeCell ref="D14:E14"/>
    <mergeCell ref="D15:E15"/>
    <mergeCell ref="D16:E16"/>
    <mergeCell ref="D17:E17"/>
    <mergeCell ref="D18:E18"/>
    <mergeCell ref="D19:E19"/>
    <mergeCell ref="D20:E20"/>
    <mergeCell ref="D21:E21"/>
    <mergeCell ref="D22:E22"/>
    <mergeCell ref="D23:E23"/>
    <mergeCell ref="G14:H14"/>
    <mergeCell ref="G15:H15"/>
    <mergeCell ref="G16:H16"/>
    <mergeCell ref="G17:H17"/>
    <mergeCell ref="G18:H18"/>
    <mergeCell ref="G19:H19"/>
    <mergeCell ref="G20:H20"/>
    <mergeCell ref="G21:H21"/>
    <mergeCell ref="G22:H22"/>
    <mergeCell ref="G23:H23"/>
    <mergeCell ref="G24:H24"/>
    <mergeCell ref="G25:H25"/>
    <mergeCell ref="A27:B27"/>
    <mergeCell ref="A28:B28"/>
    <mergeCell ref="A29:B29"/>
    <mergeCell ref="D28:E28"/>
    <mergeCell ref="D29:E29"/>
    <mergeCell ref="G28:H28"/>
    <mergeCell ref="G29:H29"/>
    <mergeCell ref="A37:I37"/>
    <mergeCell ref="G31:I31"/>
    <mergeCell ref="G32:I32"/>
    <mergeCell ref="G33:I33"/>
    <mergeCell ref="G34:I34"/>
    <mergeCell ref="G35:I35"/>
    <mergeCell ref="D31:F31"/>
    <mergeCell ref="D32:F32"/>
    <mergeCell ref="D33:F33"/>
    <mergeCell ref="D34:F34"/>
    <mergeCell ref="D35:F35"/>
    <mergeCell ref="A31:C31"/>
    <mergeCell ref="A32:C32"/>
    <mergeCell ref="A33:C33"/>
    <mergeCell ref="A34:C34"/>
    <mergeCell ref="A35:C35"/>
  </mergeCells>
  <pageMargins left="0.393999993801117" right="0.393999993801117" top="0.59100002050399802" bottom="0.59100002050399802"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45"/>
  <sheetViews>
    <sheetView workbookViewId="0">
      <selection activeCell="F6" sqref="F6:G7"/>
    </sheetView>
  </sheetViews>
  <sheetFormatPr defaultColWidth="12.140625" defaultRowHeight="15" customHeight="1" x14ac:dyDescent="0.25"/>
  <cols>
    <col min="1" max="1" width="9.140625" customWidth="1"/>
    <col min="2" max="2" width="12.85546875" customWidth="1"/>
    <col min="3" max="3" width="22.85546875" customWidth="1"/>
    <col min="4" max="4" width="10" customWidth="1"/>
    <col min="5" max="5" width="14" customWidth="1"/>
    <col min="6" max="6" width="22.85546875" customWidth="1"/>
    <col min="7" max="7" width="9.140625" customWidth="1"/>
    <col min="8" max="8" width="17.140625" customWidth="1"/>
    <col min="9" max="9" width="22.85546875" customWidth="1"/>
  </cols>
  <sheetData>
    <row r="1" spans="1:9" ht="54.75" customHeight="1" x14ac:dyDescent="0.25">
      <c r="A1" s="181" t="s">
        <v>426</v>
      </c>
      <c r="B1" s="129"/>
      <c r="C1" s="129"/>
      <c r="D1" s="129"/>
      <c r="E1" s="129"/>
      <c r="F1" s="129"/>
      <c r="G1" s="129"/>
      <c r="H1" s="129"/>
      <c r="I1" s="129"/>
    </row>
    <row r="2" spans="1:9" x14ac:dyDescent="0.25">
      <c r="A2" s="130" t="s">
        <v>1</v>
      </c>
      <c r="B2" s="116"/>
      <c r="C2" s="135" t="str">
        <f>'Stavební rozpočet'!C2</f>
        <v>Hala posypových hmot SO01 Růžodol</v>
      </c>
      <c r="D2" s="136"/>
      <c r="E2" s="134" t="s">
        <v>5</v>
      </c>
      <c r="F2" s="134" t="str">
        <f>'Stavební rozpočet'!K2</f>
        <v> </v>
      </c>
      <c r="G2" s="116"/>
      <c r="H2" s="134" t="s">
        <v>386</v>
      </c>
      <c r="I2" s="117" t="s">
        <v>48</v>
      </c>
    </row>
    <row r="3" spans="1:9" ht="15" customHeight="1" x14ac:dyDescent="0.25">
      <c r="A3" s="131"/>
      <c r="B3" s="92"/>
      <c r="C3" s="137"/>
      <c r="D3" s="137"/>
      <c r="E3" s="92"/>
      <c r="F3" s="92"/>
      <c r="G3" s="92"/>
      <c r="H3" s="92"/>
      <c r="I3" s="118"/>
    </row>
    <row r="4" spans="1:9" x14ac:dyDescent="0.25">
      <c r="A4" s="132" t="s">
        <v>7</v>
      </c>
      <c r="B4" s="92"/>
      <c r="C4" s="91" t="str">
        <f>'Stavební rozpočet'!C4</f>
        <v>Sklad</v>
      </c>
      <c r="D4" s="92"/>
      <c r="E4" s="91" t="s">
        <v>11</v>
      </c>
      <c r="F4" s="91" t="str">
        <f>'Stavební rozpočet'!K4</f>
        <v> </v>
      </c>
      <c r="G4" s="92"/>
      <c r="H4" s="91" t="s">
        <v>386</v>
      </c>
      <c r="I4" s="118" t="s">
        <v>48</v>
      </c>
    </row>
    <row r="5" spans="1:9" ht="15" customHeight="1" x14ac:dyDescent="0.25">
      <c r="A5" s="131"/>
      <c r="B5" s="92"/>
      <c r="C5" s="92"/>
      <c r="D5" s="92"/>
      <c r="E5" s="92"/>
      <c r="F5" s="92"/>
      <c r="G5" s="92"/>
      <c r="H5" s="92"/>
      <c r="I5" s="118"/>
    </row>
    <row r="6" spans="1:9" x14ac:dyDescent="0.25">
      <c r="A6" s="132" t="s">
        <v>12</v>
      </c>
      <c r="B6" s="92"/>
      <c r="C6" s="91" t="str">
        <f>'Stavební rozpočet'!C6</f>
        <v>Růžodol</v>
      </c>
      <c r="D6" s="92"/>
      <c r="E6" s="91" t="s">
        <v>15</v>
      </c>
      <c r="F6" s="144" t="str">
        <f>'Stavební rozpočet'!K6</f>
        <v> </v>
      </c>
      <c r="G6" s="144"/>
      <c r="H6" s="91" t="s">
        <v>386</v>
      </c>
      <c r="I6" s="118" t="s">
        <v>48</v>
      </c>
    </row>
    <row r="7" spans="1:9" ht="15" customHeight="1" x14ac:dyDescent="0.25">
      <c r="A7" s="131"/>
      <c r="B7" s="92"/>
      <c r="C7" s="92"/>
      <c r="D7" s="92"/>
      <c r="E7" s="92"/>
      <c r="F7" s="144"/>
      <c r="G7" s="144"/>
      <c r="H7" s="92"/>
      <c r="I7" s="118"/>
    </row>
    <row r="8" spans="1:9" x14ac:dyDescent="0.25">
      <c r="A8" s="132" t="s">
        <v>9</v>
      </c>
      <c r="B8" s="92"/>
      <c r="C8" s="91" t="str">
        <f>'Stavební rozpočet'!I4</f>
        <v>27.02.2024</v>
      </c>
      <c r="D8" s="92"/>
      <c r="E8" s="91" t="s">
        <v>14</v>
      </c>
      <c r="F8" s="91" t="str">
        <f>'Stavební rozpočet'!I6</f>
        <v xml:space="preserve"> </v>
      </c>
      <c r="G8" s="92"/>
      <c r="H8" s="92" t="s">
        <v>387</v>
      </c>
      <c r="I8" s="182">
        <v>64</v>
      </c>
    </row>
    <row r="9" spans="1:9" x14ac:dyDescent="0.25">
      <c r="A9" s="131"/>
      <c r="B9" s="92"/>
      <c r="C9" s="92"/>
      <c r="D9" s="92"/>
      <c r="E9" s="92"/>
      <c r="F9" s="92"/>
      <c r="G9" s="92"/>
      <c r="H9" s="92"/>
      <c r="I9" s="118"/>
    </row>
    <row r="10" spans="1:9" x14ac:dyDescent="0.25">
      <c r="A10" s="132" t="s">
        <v>16</v>
      </c>
      <c r="B10" s="92"/>
      <c r="C10" s="91" t="str">
        <f>'Stavební rozpočet'!C8</f>
        <v xml:space="preserve"> </v>
      </c>
      <c r="D10" s="92"/>
      <c r="E10" s="91" t="s">
        <v>18</v>
      </c>
      <c r="F10" s="91" t="str">
        <f>'Stavební rozpočet'!K8</f>
        <v> </v>
      </c>
      <c r="G10" s="92"/>
      <c r="H10" s="92" t="s">
        <v>388</v>
      </c>
      <c r="I10" s="139" t="str">
        <f>'Stavební rozpočet'!I8</f>
        <v>27.02.2024</v>
      </c>
    </row>
    <row r="11" spans="1:9" x14ac:dyDescent="0.25">
      <c r="A11" s="180"/>
      <c r="B11" s="96"/>
      <c r="C11" s="96"/>
      <c r="D11" s="96"/>
      <c r="E11" s="96"/>
      <c r="F11" s="96"/>
      <c r="G11" s="96"/>
      <c r="H11" s="96"/>
      <c r="I11" s="176"/>
    </row>
    <row r="13" spans="1:9" ht="15.75" x14ac:dyDescent="0.25">
      <c r="A13" s="198" t="s">
        <v>427</v>
      </c>
      <c r="B13" s="198"/>
      <c r="C13" s="198"/>
      <c r="D13" s="198"/>
      <c r="E13" s="198"/>
    </row>
    <row r="14" spans="1:9" x14ac:dyDescent="0.25">
      <c r="A14" s="199" t="s">
        <v>428</v>
      </c>
      <c r="B14" s="200"/>
      <c r="C14" s="200"/>
      <c r="D14" s="200"/>
      <c r="E14" s="201"/>
      <c r="F14" s="78" t="s">
        <v>429</v>
      </c>
      <c r="G14" s="78" t="s">
        <v>430</v>
      </c>
      <c r="H14" s="78" t="s">
        <v>431</v>
      </c>
      <c r="I14" s="78" t="s">
        <v>429</v>
      </c>
    </row>
    <row r="15" spans="1:9" x14ac:dyDescent="0.25">
      <c r="A15" s="183" t="s">
        <v>398</v>
      </c>
      <c r="B15" s="184"/>
      <c r="C15" s="184"/>
      <c r="D15" s="184"/>
      <c r="E15" s="185"/>
      <c r="F15" s="79">
        <v>0</v>
      </c>
      <c r="G15" s="80" t="s">
        <v>48</v>
      </c>
      <c r="H15" s="80" t="s">
        <v>48</v>
      </c>
      <c r="I15" s="79">
        <f>F15</f>
        <v>0</v>
      </c>
    </row>
    <row r="16" spans="1:9" x14ac:dyDescent="0.25">
      <c r="A16" s="183" t="s">
        <v>399</v>
      </c>
      <c r="B16" s="184"/>
      <c r="C16" s="184"/>
      <c r="D16" s="184"/>
      <c r="E16" s="185"/>
      <c r="F16" s="79">
        <v>0</v>
      </c>
      <c r="G16" s="80" t="s">
        <v>48</v>
      </c>
      <c r="H16" s="80" t="s">
        <v>48</v>
      </c>
      <c r="I16" s="79">
        <f>F16</f>
        <v>0</v>
      </c>
    </row>
    <row r="17" spans="1:9" x14ac:dyDescent="0.25">
      <c r="A17" s="186" t="s">
        <v>402</v>
      </c>
      <c r="B17" s="187"/>
      <c r="C17" s="187"/>
      <c r="D17" s="187"/>
      <c r="E17" s="188"/>
      <c r="F17" s="81">
        <v>0</v>
      </c>
      <c r="G17" s="82" t="s">
        <v>48</v>
      </c>
      <c r="H17" s="82" t="s">
        <v>48</v>
      </c>
      <c r="I17" s="81">
        <f>F17</f>
        <v>0</v>
      </c>
    </row>
    <row r="18" spans="1:9" x14ac:dyDescent="0.25">
      <c r="A18" s="189" t="s">
        <v>432</v>
      </c>
      <c r="B18" s="190"/>
      <c r="C18" s="190"/>
      <c r="D18" s="190"/>
      <c r="E18" s="191"/>
      <c r="F18" s="83" t="s">
        <v>48</v>
      </c>
      <c r="G18" s="84" t="s">
        <v>48</v>
      </c>
      <c r="H18" s="84" t="s">
        <v>48</v>
      </c>
      <c r="I18" s="85">
        <f>SUM(I15:I17)</f>
        <v>0</v>
      </c>
    </row>
    <row r="20" spans="1:9" x14ac:dyDescent="0.25">
      <c r="A20" s="199" t="s">
        <v>395</v>
      </c>
      <c r="B20" s="200"/>
      <c r="C20" s="200"/>
      <c r="D20" s="200"/>
      <c r="E20" s="201"/>
      <c r="F20" s="78" t="s">
        <v>429</v>
      </c>
      <c r="G20" s="78" t="s">
        <v>430</v>
      </c>
      <c r="H20" s="78" t="s">
        <v>431</v>
      </c>
      <c r="I20" s="78" t="s">
        <v>429</v>
      </c>
    </row>
    <row r="21" spans="1:9" x14ac:dyDescent="0.25">
      <c r="A21" s="183" t="s">
        <v>357</v>
      </c>
      <c r="B21" s="184"/>
      <c r="C21" s="184"/>
      <c r="D21" s="184"/>
      <c r="E21" s="185"/>
      <c r="F21" s="79">
        <v>0</v>
      </c>
      <c r="G21" s="80" t="s">
        <v>48</v>
      </c>
      <c r="H21" s="80" t="s">
        <v>48</v>
      </c>
      <c r="I21" s="79">
        <f t="shared" ref="I21:I26" si="0">F21</f>
        <v>0</v>
      </c>
    </row>
    <row r="22" spans="1:9" x14ac:dyDescent="0.25">
      <c r="A22" s="183" t="s">
        <v>400</v>
      </c>
      <c r="B22" s="184"/>
      <c r="C22" s="184"/>
      <c r="D22" s="184"/>
      <c r="E22" s="185"/>
      <c r="F22" s="79">
        <v>0</v>
      </c>
      <c r="G22" s="80" t="s">
        <v>48</v>
      </c>
      <c r="H22" s="80" t="s">
        <v>48</v>
      </c>
      <c r="I22" s="79">
        <f t="shared" si="0"/>
        <v>0</v>
      </c>
    </row>
    <row r="23" spans="1:9" x14ac:dyDescent="0.25">
      <c r="A23" s="183" t="s">
        <v>368</v>
      </c>
      <c r="B23" s="184"/>
      <c r="C23" s="184"/>
      <c r="D23" s="184"/>
      <c r="E23" s="185"/>
      <c r="F23" s="79">
        <v>0</v>
      </c>
      <c r="G23" s="80" t="s">
        <v>48</v>
      </c>
      <c r="H23" s="80" t="s">
        <v>48</v>
      </c>
      <c r="I23" s="79">
        <f t="shared" si="0"/>
        <v>0</v>
      </c>
    </row>
    <row r="24" spans="1:9" x14ac:dyDescent="0.25">
      <c r="A24" s="183" t="s">
        <v>403</v>
      </c>
      <c r="B24" s="184"/>
      <c r="C24" s="184"/>
      <c r="D24" s="184"/>
      <c r="E24" s="185"/>
      <c r="F24" s="79">
        <v>0</v>
      </c>
      <c r="G24" s="80" t="s">
        <v>48</v>
      </c>
      <c r="H24" s="80" t="s">
        <v>48</v>
      </c>
      <c r="I24" s="79">
        <f t="shared" si="0"/>
        <v>0</v>
      </c>
    </row>
    <row r="25" spans="1:9" x14ac:dyDescent="0.25">
      <c r="A25" s="183" t="s">
        <v>405</v>
      </c>
      <c r="B25" s="184"/>
      <c r="C25" s="184"/>
      <c r="D25" s="184"/>
      <c r="E25" s="185"/>
      <c r="F25" s="79">
        <v>0</v>
      </c>
      <c r="G25" s="80" t="s">
        <v>48</v>
      </c>
      <c r="H25" s="80" t="s">
        <v>48</v>
      </c>
      <c r="I25" s="79">
        <f t="shared" si="0"/>
        <v>0</v>
      </c>
    </row>
    <row r="26" spans="1:9" x14ac:dyDescent="0.25">
      <c r="A26" s="186" t="s">
        <v>406</v>
      </c>
      <c r="B26" s="187"/>
      <c r="C26" s="187"/>
      <c r="D26" s="187"/>
      <c r="E26" s="188"/>
      <c r="F26" s="81">
        <v>0</v>
      </c>
      <c r="G26" s="82" t="s">
        <v>48</v>
      </c>
      <c r="H26" s="82" t="s">
        <v>48</v>
      </c>
      <c r="I26" s="81">
        <f t="shared" si="0"/>
        <v>0</v>
      </c>
    </row>
    <row r="27" spans="1:9" x14ac:dyDescent="0.25">
      <c r="A27" s="189" t="s">
        <v>433</v>
      </c>
      <c r="B27" s="190"/>
      <c r="C27" s="190"/>
      <c r="D27" s="190"/>
      <c r="E27" s="191"/>
      <c r="F27" s="83" t="s">
        <v>48</v>
      </c>
      <c r="G27" s="84" t="s">
        <v>48</v>
      </c>
      <c r="H27" s="84" t="s">
        <v>48</v>
      </c>
      <c r="I27" s="85">
        <f>SUM(I21:I26)</f>
        <v>0</v>
      </c>
    </row>
    <row r="29" spans="1:9" ht="15.75" x14ac:dyDescent="0.25">
      <c r="A29" s="192" t="s">
        <v>434</v>
      </c>
      <c r="B29" s="193"/>
      <c r="C29" s="193"/>
      <c r="D29" s="193"/>
      <c r="E29" s="194"/>
      <c r="F29" s="195">
        <f>I18+I27</f>
        <v>0</v>
      </c>
      <c r="G29" s="196"/>
      <c r="H29" s="196"/>
      <c r="I29" s="197"/>
    </row>
    <row r="33" spans="1:9" ht="15.75" x14ac:dyDescent="0.25">
      <c r="A33" s="198" t="s">
        <v>435</v>
      </c>
      <c r="B33" s="198"/>
      <c r="C33" s="198"/>
      <c r="D33" s="198"/>
      <c r="E33" s="198"/>
    </row>
    <row r="34" spans="1:9" x14ac:dyDescent="0.25">
      <c r="A34" s="199" t="s">
        <v>436</v>
      </c>
      <c r="B34" s="200"/>
      <c r="C34" s="200"/>
      <c r="D34" s="200"/>
      <c r="E34" s="201"/>
      <c r="F34" s="78" t="s">
        <v>429</v>
      </c>
      <c r="G34" s="78" t="s">
        <v>430</v>
      </c>
      <c r="H34" s="78" t="s">
        <v>431</v>
      </c>
      <c r="I34" s="78" t="s">
        <v>429</v>
      </c>
    </row>
    <row r="35" spans="1:9" x14ac:dyDescent="0.25">
      <c r="A35" s="183" t="s">
        <v>344</v>
      </c>
      <c r="B35" s="184"/>
      <c r="C35" s="184"/>
      <c r="D35" s="184"/>
      <c r="E35" s="185"/>
      <c r="F35" s="79">
        <f>SUM('Stavební rozpočet'!BM12:BM154)</f>
        <v>0</v>
      </c>
      <c r="G35" s="80" t="s">
        <v>48</v>
      </c>
      <c r="H35" s="80" t="s">
        <v>48</v>
      </c>
      <c r="I35" s="79">
        <f t="shared" ref="I35:I44" si="1">F35</f>
        <v>0</v>
      </c>
    </row>
    <row r="36" spans="1:9" x14ac:dyDescent="0.25">
      <c r="A36" s="183" t="s">
        <v>437</v>
      </c>
      <c r="B36" s="184"/>
      <c r="C36" s="184"/>
      <c r="D36" s="184"/>
      <c r="E36" s="185"/>
      <c r="F36" s="79">
        <f>SUM('Stavební rozpočet'!BN12:BN154)</f>
        <v>0</v>
      </c>
      <c r="G36" s="80" t="s">
        <v>48</v>
      </c>
      <c r="H36" s="80" t="s">
        <v>48</v>
      </c>
      <c r="I36" s="79">
        <f t="shared" si="1"/>
        <v>0</v>
      </c>
    </row>
    <row r="37" spans="1:9" x14ac:dyDescent="0.25">
      <c r="A37" s="183" t="s">
        <v>357</v>
      </c>
      <c r="B37" s="184"/>
      <c r="C37" s="184"/>
      <c r="D37" s="184"/>
      <c r="E37" s="185"/>
      <c r="F37" s="79">
        <f>SUM('Stavební rozpočet'!BO12:BO154)</f>
        <v>0</v>
      </c>
      <c r="G37" s="80" t="s">
        <v>48</v>
      </c>
      <c r="H37" s="80" t="s">
        <v>48</v>
      </c>
      <c r="I37" s="79">
        <f t="shared" si="1"/>
        <v>0</v>
      </c>
    </row>
    <row r="38" spans="1:9" x14ac:dyDescent="0.25">
      <c r="A38" s="183" t="s">
        <v>438</v>
      </c>
      <c r="B38" s="184"/>
      <c r="C38" s="184"/>
      <c r="D38" s="184"/>
      <c r="E38" s="185"/>
      <c r="F38" s="79">
        <f>SUM('Stavební rozpočet'!BP12:BP154)</f>
        <v>0</v>
      </c>
      <c r="G38" s="80" t="s">
        <v>48</v>
      </c>
      <c r="H38" s="80" t="s">
        <v>48</v>
      </c>
      <c r="I38" s="79">
        <f t="shared" si="1"/>
        <v>0</v>
      </c>
    </row>
    <row r="39" spans="1:9" x14ac:dyDescent="0.25">
      <c r="A39" s="183" t="s">
        <v>439</v>
      </c>
      <c r="B39" s="184"/>
      <c r="C39" s="184"/>
      <c r="D39" s="184"/>
      <c r="E39" s="185"/>
      <c r="F39" s="79">
        <f>SUM('Stavební rozpočet'!BQ12:BQ154)</f>
        <v>0</v>
      </c>
      <c r="G39" s="80" t="s">
        <v>48</v>
      </c>
      <c r="H39" s="80" t="s">
        <v>48</v>
      </c>
      <c r="I39" s="79">
        <f t="shared" si="1"/>
        <v>0</v>
      </c>
    </row>
    <row r="40" spans="1:9" x14ac:dyDescent="0.25">
      <c r="A40" s="183" t="s">
        <v>368</v>
      </c>
      <c r="B40" s="184"/>
      <c r="C40" s="184"/>
      <c r="D40" s="184"/>
      <c r="E40" s="185"/>
      <c r="F40" s="79">
        <f>SUM('Stavební rozpočet'!BR12:BR154)</f>
        <v>0</v>
      </c>
      <c r="G40" s="80" t="s">
        <v>48</v>
      </c>
      <c r="H40" s="80" t="s">
        <v>48</v>
      </c>
      <c r="I40" s="79">
        <f t="shared" si="1"/>
        <v>0</v>
      </c>
    </row>
    <row r="41" spans="1:9" x14ac:dyDescent="0.25">
      <c r="A41" s="183" t="s">
        <v>403</v>
      </c>
      <c r="B41" s="184"/>
      <c r="C41" s="184"/>
      <c r="D41" s="184"/>
      <c r="E41" s="185"/>
      <c r="F41" s="79">
        <f>SUM('Stavební rozpočet'!BS12:BS154)</f>
        <v>0</v>
      </c>
      <c r="G41" s="80" t="s">
        <v>48</v>
      </c>
      <c r="H41" s="80" t="s">
        <v>48</v>
      </c>
      <c r="I41" s="79">
        <f t="shared" si="1"/>
        <v>0</v>
      </c>
    </row>
    <row r="42" spans="1:9" x14ac:dyDescent="0.25">
      <c r="A42" s="183" t="s">
        <v>440</v>
      </c>
      <c r="B42" s="184"/>
      <c r="C42" s="184"/>
      <c r="D42" s="184"/>
      <c r="E42" s="185"/>
      <c r="F42" s="79">
        <f>SUM('Stavební rozpočet'!BT12:BT154)</f>
        <v>0</v>
      </c>
      <c r="G42" s="80" t="s">
        <v>48</v>
      </c>
      <c r="H42" s="80" t="s">
        <v>48</v>
      </c>
      <c r="I42" s="79">
        <f t="shared" si="1"/>
        <v>0</v>
      </c>
    </row>
    <row r="43" spans="1:9" x14ac:dyDescent="0.25">
      <c r="A43" s="183" t="s">
        <v>441</v>
      </c>
      <c r="B43" s="184"/>
      <c r="C43" s="184"/>
      <c r="D43" s="184"/>
      <c r="E43" s="185"/>
      <c r="F43" s="79">
        <f>SUM('Stavební rozpočet'!BU12:BU154)</f>
        <v>0</v>
      </c>
      <c r="G43" s="80" t="s">
        <v>48</v>
      </c>
      <c r="H43" s="80" t="s">
        <v>48</v>
      </c>
      <c r="I43" s="79">
        <f t="shared" si="1"/>
        <v>0</v>
      </c>
    </row>
    <row r="44" spans="1:9" x14ac:dyDescent="0.25">
      <c r="A44" s="186" t="s">
        <v>442</v>
      </c>
      <c r="B44" s="187"/>
      <c r="C44" s="187"/>
      <c r="D44" s="187"/>
      <c r="E44" s="188"/>
      <c r="F44" s="81">
        <f>SUM('Stavební rozpočet'!BV12:BV154)</f>
        <v>0</v>
      </c>
      <c r="G44" s="82" t="s">
        <v>48</v>
      </c>
      <c r="H44" s="82" t="s">
        <v>48</v>
      </c>
      <c r="I44" s="81">
        <f t="shared" si="1"/>
        <v>0</v>
      </c>
    </row>
    <row r="45" spans="1:9" x14ac:dyDescent="0.25">
      <c r="A45" s="189" t="s">
        <v>443</v>
      </c>
      <c r="B45" s="190"/>
      <c r="C45" s="190"/>
      <c r="D45" s="190"/>
      <c r="E45" s="191"/>
      <c r="F45" s="83" t="s">
        <v>48</v>
      </c>
      <c r="G45" s="84" t="s">
        <v>48</v>
      </c>
      <c r="H45" s="84" t="s">
        <v>48</v>
      </c>
      <c r="I45" s="85">
        <f>SUM(I35:I44)</f>
        <v>0</v>
      </c>
    </row>
  </sheetData>
  <sheetProtection algorithmName="SHA-512" hashValue="cgb09fz+7X+3tTLBBGESOJWYVDSigxTHzRxsnisd6dCUPIFqtf9PS+kXr0HEtVa/jzZGqJPLrVPn4cHRIgZqbA==" saltValue="lqOXNCrCtQwSXAD9q1Nymw==" spinCount="100000" sheet="1" formatCells="0" formatColumns="0" formatRows="0" insertColumns="0" insertRows="0" insertHyperlinks="0" deleteColumns="0" deleteRows="0" sort="0" autoFilter="0" pivotTables="0"/>
  <mergeCells count="60">
    <mergeCell ref="A1:I1"/>
    <mergeCell ref="A2:B3"/>
    <mergeCell ref="A4:B5"/>
    <mergeCell ref="A6:B7"/>
    <mergeCell ref="A8:B9"/>
    <mergeCell ref="H2:H3"/>
    <mergeCell ref="H4:H5"/>
    <mergeCell ref="H6:H7"/>
    <mergeCell ref="H8:H9"/>
    <mergeCell ref="I2:I3"/>
    <mergeCell ref="I4:I5"/>
    <mergeCell ref="I6:I7"/>
    <mergeCell ref="I8:I9"/>
    <mergeCell ref="E2:E3"/>
    <mergeCell ref="E4:E5"/>
    <mergeCell ref="E6:E7"/>
    <mergeCell ref="E8:E9"/>
    <mergeCell ref="E10:E11"/>
    <mergeCell ref="F2:G3"/>
    <mergeCell ref="F4:G5"/>
    <mergeCell ref="F6:G7"/>
    <mergeCell ref="F8:G9"/>
    <mergeCell ref="F10:G11"/>
    <mergeCell ref="C2:D3"/>
    <mergeCell ref="C4:D5"/>
    <mergeCell ref="C6:D7"/>
    <mergeCell ref="C8:D9"/>
    <mergeCell ref="C10:D11"/>
    <mergeCell ref="I10:I11"/>
    <mergeCell ref="A13:E13"/>
    <mergeCell ref="A14:E14"/>
    <mergeCell ref="A15:E15"/>
    <mergeCell ref="A16:E16"/>
    <mergeCell ref="H10:H11"/>
    <mergeCell ref="A10:B11"/>
    <mergeCell ref="A17:E17"/>
    <mergeCell ref="A18:E18"/>
    <mergeCell ref="A20:E20"/>
    <mergeCell ref="A21:E21"/>
    <mergeCell ref="A22:E22"/>
    <mergeCell ref="A23:E23"/>
    <mergeCell ref="A24:E24"/>
    <mergeCell ref="A25:E25"/>
    <mergeCell ref="A26:E26"/>
    <mergeCell ref="A27:E27"/>
    <mergeCell ref="A29:E29"/>
    <mergeCell ref="F29:I29"/>
    <mergeCell ref="A33:E33"/>
    <mergeCell ref="A34:E34"/>
    <mergeCell ref="A35:E35"/>
    <mergeCell ref="A36:E36"/>
    <mergeCell ref="A37:E37"/>
    <mergeCell ref="A38:E38"/>
    <mergeCell ref="A39:E39"/>
    <mergeCell ref="A40:E40"/>
    <mergeCell ref="A41:E41"/>
    <mergeCell ref="A42:E42"/>
    <mergeCell ref="A43:E43"/>
    <mergeCell ref="A44:E44"/>
    <mergeCell ref="A45:E45"/>
  </mergeCells>
  <pageMargins left="0.393999993801117" right="0.393999993801117" top="0.59100002050399802" bottom="0.59100002050399802" header="0" footer="0"/>
  <pageSetup fitToHeight="0"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vt:i4>
      </vt:variant>
      <vt:variant>
        <vt:lpstr>Pojmenované oblasti</vt:lpstr>
      </vt:variant>
      <vt:variant>
        <vt:i4>1</vt:i4>
      </vt:variant>
    </vt:vector>
  </HeadingPairs>
  <TitlesOfParts>
    <vt:vector size="6" baseType="lpstr">
      <vt:lpstr>Stavební rozpočet</vt:lpstr>
      <vt:lpstr>Stavební rozpočet - součet</vt:lpstr>
      <vt:lpstr>Výkaz výměr</vt:lpstr>
      <vt:lpstr>Krycí list rozpočtu</vt:lpstr>
      <vt:lpstr>VORN</vt:lpstr>
      <vt:lpstr>vorn_sum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Monika Poslová, Silnice LK a.s.</cp:lastModifiedBy>
  <dcterms:created xsi:type="dcterms:W3CDTF">2021-06-10T20:06:38Z</dcterms:created>
  <dcterms:modified xsi:type="dcterms:W3CDTF">2024-06-05T08:34:20Z</dcterms:modified>
</cp:coreProperties>
</file>