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-108" yWindow="-108" windowWidth="46308" windowHeight="26148" activeTab="4"/>
  </bookViews>
  <sheets>
    <sheet name="RekapitulaciaStavby" sheetId="1" r:id="rId1"/>
    <sheet name="SupisPrac" sheetId="2" r:id="rId2"/>
    <sheet name="CastiStavby" sheetId="3" r:id="rId3"/>
    <sheet name="000" sheetId="4" r:id="rId4"/>
    <sheet name="201" sheetId="5" r:id="rId5"/>
  </sheets>
  <definedNames>
    <definedName name="_xlnm.Print_Titles" localSheetId="3">'000'!$5:$6</definedName>
    <definedName name="_xlnm.Print_Titles" localSheetId="4">'201'!#REF!</definedName>
    <definedName name="_xlnm.Print_Titles" localSheetId="2">CastiStavby!$1:$3</definedName>
    <definedName name="_xlnm.Print_Titles" localSheetId="1">SupisPrac!$1:$3</definedName>
    <definedName name="_xlnm.Print_Area" localSheetId="3">'000'!$A$1:$H$47</definedName>
    <definedName name="_xlnm.Print_Area" localSheetId="4">'201'!$A$1:$H$480</definedName>
    <definedName name="_xlnm.Print_Area" localSheetId="2">CastiStavby!$A$1:$I$116</definedName>
    <definedName name="_xlnm.Print_Area" localSheetId="0">RekapitulaciaStavby!$B$1:$G$23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3" l="1"/>
  <c r="H15" i="3" l="1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I23" i="3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4" i="3"/>
  <c r="I1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4" i="3"/>
  <c r="I4" i="3" s="1"/>
  <c r="I105" i="3" l="1"/>
  <c r="I13" i="3"/>
  <c r="F449" i="5"/>
  <c r="F448" i="5"/>
  <c r="F447" i="5"/>
  <c r="F446" i="5"/>
  <c r="F444" i="5"/>
  <c r="H443" i="5" s="1"/>
  <c r="H440" i="5"/>
  <c r="H439" i="5" s="1"/>
  <c r="F436" i="5"/>
  <c r="F435" i="5"/>
  <c r="F434" i="5"/>
  <c r="F433" i="5"/>
  <c r="F432" i="5"/>
  <c r="F431" i="5"/>
  <c r="F430" i="5"/>
  <c r="F429" i="5"/>
  <c r="F425" i="5"/>
  <c r="F424" i="5"/>
  <c r="H417" i="5"/>
  <c r="F416" i="5"/>
  <c r="H415" i="5" s="1"/>
  <c r="H414" i="5" s="1"/>
  <c r="F413" i="5"/>
  <c r="H412" i="5" s="1"/>
  <c r="H411" i="5" s="1"/>
  <c r="F409" i="5"/>
  <c r="H408" i="5" s="1"/>
  <c r="H407" i="5" s="1"/>
  <c r="F405" i="5"/>
  <c r="F404" i="5"/>
  <c r="F400" i="5"/>
  <c r="F402" i="5" s="1"/>
  <c r="H399" i="5" s="1"/>
  <c r="F395" i="5"/>
  <c r="F394" i="5"/>
  <c r="F391" i="5"/>
  <c r="F390" i="5"/>
  <c r="F387" i="5"/>
  <c r="H386" i="5" s="1"/>
  <c r="F384" i="5"/>
  <c r="F383" i="5"/>
  <c r="F379" i="5"/>
  <c r="F378" i="5"/>
  <c r="F377" i="5"/>
  <c r="F374" i="5"/>
  <c r="F373" i="5"/>
  <c r="H367" i="5"/>
  <c r="H364" i="5"/>
  <c r="F363" i="5"/>
  <c r="H362" i="5" s="1"/>
  <c r="H361" i="5" s="1"/>
  <c r="F359" i="5"/>
  <c r="F358" i="5"/>
  <c r="F354" i="5"/>
  <c r="H353" i="5" s="1"/>
  <c r="H352" i="5" s="1"/>
  <c r="F350" i="5"/>
  <c r="H349" i="5" s="1"/>
  <c r="H348" i="5" s="1"/>
  <c r="F347" i="5"/>
  <c r="H346" i="5" s="1"/>
  <c r="H345" i="5" s="1"/>
  <c r="F344" i="5"/>
  <c r="H343" i="5" s="1"/>
  <c r="H342" i="5" s="1"/>
  <c r="F341" i="5"/>
  <c r="H340" i="5" s="1"/>
  <c r="H339" i="5" s="1"/>
  <c r="F337" i="5"/>
  <c r="H336" i="5" s="1"/>
  <c r="H335" i="5" s="1"/>
  <c r="H333" i="5"/>
  <c r="H332" i="5" s="1"/>
  <c r="H330" i="5"/>
  <c r="H329" i="5" s="1"/>
  <c r="F327" i="5"/>
  <c r="H326" i="5" s="1"/>
  <c r="H325" i="5" s="1"/>
  <c r="F323" i="5"/>
  <c r="F322" i="5"/>
  <c r="F319" i="5"/>
  <c r="H318" i="5" s="1"/>
  <c r="H317" i="5" s="1"/>
  <c r="F316" i="5"/>
  <c r="H315" i="5" s="1"/>
  <c r="H314" i="5" s="1"/>
  <c r="F313" i="5"/>
  <c r="H311" i="5" s="1"/>
  <c r="H310" i="5" s="1"/>
  <c r="F309" i="5"/>
  <c r="H307" i="5" s="1"/>
  <c r="H306" i="5" s="1"/>
  <c r="F304" i="5"/>
  <c r="F303" i="5"/>
  <c r="F301" i="5"/>
  <c r="H300" i="5" s="1"/>
  <c r="F296" i="5"/>
  <c r="F295" i="5"/>
  <c r="F291" i="5"/>
  <c r="F290" i="5"/>
  <c r="F288" i="5"/>
  <c r="H287" i="5" s="1"/>
  <c r="F283" i="5"/>
  <c r="F282" i="5"/>
  <c r="F284" i="5" s="1"/>
  <c r="H281" i="5" s="1"/>
  <c r="H280" i="5" s="1"/>
  <c r="F278" i="5"/>
  <c r="F277" i="5"/>
  <c r="F276" i="5"/>
  <c r="F273" i="5"/>
  <c r="H272" i="5" s="1"/>
  <c r="H271" i="5" s="1"/>
  <c r="F269" i="5"/>
  <c r="F268" i="5"/>
  <c r="F264" i="5"/>
  <c r="F263" i="5"/>
  <c r="F262" i="5"/>
  <c r="F261" i="5"/>
  <c r="F258" i="5"/>
  <c r="F257" i="5"/>
  <c r="F256" i="5"/>
  <c r="F255" i="5"/>
  <c r="F251" i="5"/>
  <c r="F250" i="5"/>
  <c r="F249" i="5"/>
  <c r="F246" i="5"/>
  <c r="H243" i="5" s="1"/>
  <c r="H242" i="5" s="1"/>
  <c r="F241" i="5"/>
  <c r="H240" i="5" s="1"/>
  <c r="H239" i="5" s="1"/>
  <c r="F237" i="5"/>
  <c r="F236" i="5"/>
  <c r="F232" i="5"/>
  <c r="F231" i="5"/>
  <c r="H226" i="5"/>
  <c r="H225" i="5" s="1"/>
  <c r="F224" i="5"/>
  <c r="H223" i="5" s="1"/>
  <c r="H222" i="5" s="1"/>
  <c r="F221" i="5"/>
  <c r="H220" i="5" s="1"/>
  <c r="H219" i="5" s="1"/>
  <c r="F218" i="5"/>
  <c r="H217" i="5" s="1"/>
  <c r="H216" i="5" s="1"/>
  <c r="F215" i="5"/>
  <c r="H214" i="5" s="1"/>
  <c r="H213" i="5" s="1"/>
  <c r="F212" i="5"/>
  <c r="H211" i="5" s="1"/>
  <c r="H210" i="5" s="1"/>
  <c r="H208" i="5"/>
  <c r="F207" i="5"/>
  <c r="H206" i="5" s="1"/>
  <c r="H205" i="5" s="1"/>
  <c r="F204" i="5"/>
  <c r="H203" i="5" s="1"/>
  <c r="H202" i="5" s="1"/>
  <c r="F201" i="5"/>
  <c r="H200" i="5" s="1"/>
  <c r="H199" i="5" s="1"/>
  <c r="F198" i="5"/>
  <c r="H197" i="5" s="1"/>
  <c r="H196" i="5" s="1"/>
  <c r="F194" i="5"/>
  <c r="H193" i="5" s="1"/>
  <c r="H192" i="5" s="1"/>
  <c r="F191" i="5"/>
  <c r="H190" i="5" s="1"/>
  <c r="H189" i="5" s="1"/>
  <c r="F188" i="5"/>
  <c r="H187" i="5" s="1"/>
  <c r="H186" i="5" s="1"/>
  <c r="F176" i="5"/>
  <c r="F175" i="5"/>
  <c r="F172" i="5"/>
  <c r="H171" i="5" s="1"/>
  <c r="H170" i="5" s="1"/>
  <c r="F161" i="5"/>
  <c r="F160" i="5"/>
  <c r="F159" i="5"/>
  <c r="F158" i="5"/>
  <c r="F154" i="5"/>
  <c r="F152" i="5"/>
  <c r="F150" i="5"/>
  <c r="F149" i="5"/>
  <c r="F146" i="5"/>
  <c r="F166" i="5" s="1"/>
  <c r="F182" i="5" s="1"/>
  <c r="F142" i="5"/>
  <c r="F165" i="5" s="1"/>
  <c r="H138" i="5"/>
  <c r="H137" i="5" s="1"/>
  <c r="F131" i="5"/>
  <c r="H130" i="5" s="1"/>
  <c r="F128" i="5"/>
  <c r="H127" i="5" s="1"/>
  <c r="H126" i="5" s="1"/>
  <c r="F124" i="5"/>
  <c r="F123" i="5"/>
  <c r="F118" i="5"/>
  <c r="H117" i="5" s="1"/>
  <c r="F114" i="5"/>
  <c r="F113" i="5"/>
  <c r="F109" i="5"/>
  <c r="F108" i="5"/>
  <c r="F110" i="5" s="1"/>
  <c r="H107" i="5" s="1"/>
  <c r="H106" i="5" s="1"/>
  <c r="F103" i="5"/>
  <c r="F102" i="5"/>
  <c r="F101" i="5"/>
  <c r="F100" i="5"/>
  <c r="F96" i="5"/>
  <c r="F95" i="5"/>
  <c r="F90" i="5"/>
  <c r="F89" i="5"/>
  <c r="F85" i="5"/>
  <c r="F84" i="5"/>
  <c r="F83" i="5"/>
  <c r="F79" i="5"/>
  <c r="F78" i="5"/>
  <c r="F76" i="5"/>
  <c r="H74" i="5" s="1"/>
  <c r="F71" i="5"/>
  <c r="F72" i="5" s="1"/>
  <c r="H69" i="5" s="1"/>
  <c r="H68" i="5" s="1"/>
  <c r="F66" i="5"/>
  <c r="F65" i="5"/>
  <c r="F64" i="5"/>
  <c r="F63" i="5"/>
  <c r="F62" i="5"/>
  <c r="F58" i="5"/>
  <c r="H56" i="5" s="1"/>
  <c r="F54" i="5"/>
  <c r="H53" i="5" s="1"/>
  <c r="H52" i="5" s="1"/>
  <c r="F51" i="5"/>
  <c r="H47" i="5" s="1"/>
  <c r="H46" i="5" s="1"/>
  <c r="F43" i="5"/>
  <c r="F42" i="5"/>
  <c r="F41" i="5"/>
  <c r="F38" i="5"/>
  <c r="H37" i="5" s="1"/>
  <c r="H36" i="5" s="1"/>
  <c r="H34" i="5"/>
  <c r="H33" i="5" s="1"/>
  <c r="H30" i="5"/>
  <c r="F29" i="5"/>
  <c r="H28" i="5" s="1"/>
  <c r="H27" i="5" s="1"/>
  <c r="F26" i="5"/>
  <c r="H23" i="5" s="1"/>
  <c r="H22" i="5" s="1"/>
  <c r="F20" i="5"/>
  <c r="F19" i="5"/>
  <c r="F15" i="5"/>
  <c r="F14" i="5"/>
  <c r="F13" i="5"/>
  <c r="I106" i="3" l="1"/>
  <c r="F125" i="5"/>
  <c r="H122" i="5" s="1"/>
  <c r="H121" i="5" s="1"/>
  <c r="F97" i="5"/>
  <c r="H93" i="5" s="1"/>
  <c r="H92" i="5" s="1"/>
  <c r="H55" i="5"/>
  <c r="F406" i="5"/>
  <c r="H403" i="5" s="1"/>
  <c r="H398" i="5" s="1"/>
  <c r="F16" i="5"/>
  <c r="H12" i="5" s="1"/>
  <c r="H11" i="5" s="1"/>
  <c r="F426" i="5"/>
  <c r="H423" i="5" s="1"/>
  <c r="H422" i="5" s="1"/>
  <c r="F297" i="5"/>
  <c r="F298" i="5" s="1"/>
  <c r="F279" i="5"/>
  <c r="H275" i="5" s="1"/>
  <c r="H274" i="5" s="1"/>
  <c r="F305" i="5"/>
  <c r="H302" i="5" s="1"/>
  <c r="H299" i="5" s="1"/>
  <c r="F115" i="5"/>
  <c r="H112" i="5" s="1"/>
  <c r="H111" i="5" s="1"/>
  <c r="F385" i="5"/>
  <c r="H382" i="5" s="1"/>
  <c r="H381" i="5" s="1"/>
  <c r="F233" i="5"/>
  <c r="H230" i="5" s="1"/>
  <c r="H229" i="5" s="1"/>
  <c r="F238" i="5"/>
  <c r="H235" i="5" s="1"/>
  <c r="H234" i="5" s="1"/>
  <c r="F392" i="5"/>
  <c r="H389" i="5" s="1"/>
  <c r="F177" i="5"/>
  <c r="H174" i="5" s="1"/>
  <c r="H173" i="5" s="1"/>
  <c r="F375" i="5"/>
  <c r="H371" i="5" s="1"/>
  <c r="F104" i="5"/>
  <c r="H99" i="5" s="1"/>
  <c r="H98" i="5" s="1"/>
  <c r="F265" i="5"/>
  <c r="H260" i="5" s="1"/>
  <c r="F292" i="5"/>
  <c r="H289" i="5" s="1"/>
  <c r="H286" i="5" s="1"/>
  <c r="F360" i="5"/>
  <c r="H357" i="5" s="1"/>
  <c r="H356" i="5" s="1"/>
  <c r="F21" i="5"/>
  <c r="H18" i="5" s="1"/>
  <c r="H17" i="5" s="1"/>
  <c r="F155" i="5"/>
  <c r="H148" i="5" s="1"/>
  <c r="H147" i="5" s="1"/>
  <c r="F252" i="5"/>
  <c r="H248" i="5" s="1"/>
  <c r="H247" i="5" s="1"/>
  <c r="F396" i="5"/>
  <c r="H393" i="5" s="1"/>
  <c r="F67" i="5"/>
  <c r="H60" i="5" s="1"/>
  <c r="H59" i="5" s="1"/>
  <c r="F259" i="5"/>
  <c r="H254" i="5" s="1"/>
  <c r="F45" i="5"/>
  <c r="H40" i="5" s="1"/>
  <c r="H39" i="5" s="1"/>
  <c r="H144" i="5"/>
  <c r="H143" i="5" s="1"/>
  <c r="F270" i="5"/>
  <c r="H266" i="5" s="1"/>
  <c r="F80" i="5"/>
  <c r="H77" i="5" s="1"/>
  <c r="H73" i="5" s="1"/>
  <c r="F86" i="5"/>
  <c r="H82" i="5" s="1"/>
  <c r="H81" i="5" s="1"/>
  <c r="F162" i="5"/>
  <c r="H157" i="5" s="1"/>
  <c r="H156" i="5" s="1"/>
  <c r="F450" i="5"/>
  <c r="H445" i="5" s="1"/>
  <c r="H442" i="5" s="1"/>
  <c r="F324" i="5"/>
  <c r="H321" i="5" s="1"/>
  <c r="H320" i="5" s="1"/>
  <c r="F437" i="5"/>
  <c r="H428" i="5" s="1"/>
  <c r="H427" i="5" s="1"/>
  <c r="F91" i="5"/>
  <c r="H88" i="5" s="1"/>
  <c r="H87" i="5" s="1"/>
  <c r="F380" i="5"/>
  <c r="H376" i="5" s="1"/>
  <c r="H370" i="5" s="1"/>
  <c r="H116" i="5"/>
  <c r="H135" i="5"/>
  <c r="H134" i="5" s="1"/>
  <c r="H129" i="5"/>
  <c r="H133" i="5"/>
  <c r="H132" i="5" s="1"/>
  <c r="H141" i="5"/>
  <c r="H140" i="5" s="1"/>
  <c r="F168" i="5" l="1"/>
  <c r="F183" i="5" s="1"/>
  <c r="F167" i="5"/>
  <c r="F181" i="5" s="1"/>
  <c r="H388" i="5"/>
  <c r="H253" i="5"/>
  <c r="F184" i="5" l="1"/>
  <c r="H179" i="5" s="1"/>
  <c r="H178" i="5" s="1"/>
  <c r="F169" i="5"/>
  <c r="H164" i="5" s="1"/>
  <c r="H163" i="5" s="1"/>
  <c r="E4" i="1" l="1"/>
  <c r="E5" i="1"/>
  <c r="F5" i="1" s="1"/>
  <c r="F4" i="1" l="1"/>
  <c r="F6" i="1" s="1"/>
  <c r="E6" i="1"/>
  <c r="G4" i="1" l="1"/>
  <c r="G5" i="1"/>
  <c r="G6" i="1" s="1"/>
</calcChain>
</file>

<file path=xl/sharedStrings.xml><?xml version="1.0" encoding="utf-8"?>
<sst xmlns="http://schemas.openxmlformats.org/spreadsheetml/2006/main" count="1828" uniqueCount="736">
  <si>
    <t>Číslo časti stavby</t>
  </si>
  <si>
    <t>Klasifikácia stavieb</t>
  </si>
  <si>
    <t>Názov časti stavby</t>
  </si>
  <si>
    <t>Cena bez DPH</t>
  </si>
  <si>
    <t>Cena s DPH</t>
  </si>
  <si>
    <t/>
  </si>
  <si>
    <t xml:space="preserve">Most ev.č. R1-168.1 vetva v križovatke Kováčová </t>
  </si>
  <si>
    <t>Celkový súčet</t>
  </si>
  <si>
    <t>Klasifikácia produkcie</t>
  </si>
  <si>
    <t>Číslo položky</t>
  </si>
  <si>
    <t>Názov položky</t>
  </si>
  <si>
    <t>M.j.</t>
  </si>
  <si>
    <t>Množstvo</t>
  </si>
  <si>
    <t>Jednotková cena v € bez DPH</t>
  </si>
  <si>
    <t>45.00.00 - Všeobecné položky v procese obstarávanie stavieb</t>
  </si>
  <si>
    <t>45.00.00</t>
  </si>
  <si>
    <t>00010401</t>
  </si>
  <si>
    <t>Zmluvné požiadavky poplatky za skládky vybúraných hmôt a sutí</t>
  </si>
  <si>
    <t>00010403</t>
  </si>
  <si>
    <t>Zmluvné požiadavky poplatky za skládky zeminy</t>
  </si>
  <si>
    <t>00010404</t>
  </si>
  <si>
    <t>Zmluvné požiadavky poplatky za skládky travín, krovia, mačiny,lesnej hrabanky</t>
  </si>
  <si>
    <t>00030114</t>
  </si>
  <si>
    <t>Geodetické práce, vykonávané pred výstavbou, zameranie existujúceho objektu</t>
  </si>
  <si>
    <t>00030116</t>
  </si>
  <si>
    <t>00030331</t>
  </si>
  <si>
    <t>00030332</t>
  </si>
  <si>
    <t>45.11.11 - Demolačné práce</t>
  </si>
  <si>
    <t>45.11.11</t>
  </si>
  <si>
    <t>05010304</t>
  </si>
  <si>
    <t>Búranie konštrukcií stropov, klenieb, schodov betónových, sklobetónových</t>
  </si>
  <si>
    <t>05010405</t>
  </si>
  <si>
    <t>Búranie konštrukcií trámov, nosníkov, prievlakov, konzolových prvkov železobetónových</t>
  </si>
  <si>
    <t>05020131</t>
  </si>
  <si>
    <t>Vybúranie, odstránenie konštrukcií - izolácie povlakovej</t>
  </si>
  <si>
    <t>05020882</t>
  </si>
  <si>
    <t>Vybúranie konštrukcií a demontáže, vonkajších oceľových potrubí pre ďalšie použitie</t>
  </si>
  <si>
    <t>05020907</t>
  </si>
  <si>
    <t>Vybúranie, odstránenie konštrukcií, rôznych predmetov kovových</t>
  </si>
  <si>
    <t>05030162</t>
  </si>
  <si>
    <t>Odstránenie spevnených plôch a vozoviek, krytov bitúmenových</t>
  </si>
  <si>
    <t>05030261</t>
  </si>
  <si>
    <t>Odstránenie spevnených plôch a vozoviek, podkladov z betónu prostého</t>
  </si>
  <si>
    <t>05030407</t>
  </si>
  <si>
    <t>Odstránenie spevnených plôch a vozoviek, zvodidiel, zábradlia,stien, oplotenia kovových</t>
  </si>
  <si>
    <t>05030507</t>
  </si>
  <si>
    <t>Odstránenie spevnených plôch a vozoviek, zvislého dopravného značenia, kovových</t>
  </si>
  <si>
    <t>05040104</t>
  </si>
  <si>
    <t>Odstránenie konštrukcií vodných korýt a vo vodných tokoch, dlažieb včítane podkladov z betónu</t>
  </si>
  <si>
    <t>05080200</t>
  </si>
  <si>
    <t>Doprava vybúraných hmôt vodorovná</t>
  </si>
  <si>
    <t>05090205</t>
  </si>
  <si>
    <t>Doplňujúce práce, úprava stavebných konštrukcií vysokotlakým vodným lúčom železobetónových</t>
  </si>
  <si>
    <t>05090361</t>
  </si>
  <si>
    <t>Doplňujúce práce, frézovanie betónového krytu, podkladu</t>
  </si>
  <si>
    <t>05090362</t>
  </si>
  <si>
    <t>Doplňujúce práce, frézovanie bitúmenového krytu, podkladu</t>
  </si>
  <si>
    <t>05090462</t>
  </si>
  <si>
    <t>Doplňujúce práce, diamantové rezanie bitúmenového krytu, podkladu</t>
  </si>
  <si>
    <t>05090500</t>
  </si>
  <si>
    <t>Jadrové vŕtanie do 100 mm</t>
  </si>
  <si>
    <t>05090502</t>
  </si>
  <si>
    <t>Jadrové vŕtanie do 200 mm</t>
  </si>
  <si>
    <t>05090503</t>
  </si>
  <si>
    <t>Doplňujúce práce, vŕtanie do železobetónu</t>
  </si>
  <si>
    <t>45.11.12 - Úprava staveniska a vyčisťovacie práce</t>
  </si>
  <si>
    <t>45.11.12</t>
  </si>
  <si>
    <t>01010001</t>
  </si>
  <si>
    <t>Pripravné práce, všeobecné vypratanie zastavaných území</t>
  </si>
  <si>
    <t>01010103</t>
  </si>
  <si>
    <t>Pripravné práce, odstránenie porastov krovín</t>
  </si>
  <si>
    <t>01060204</t>
  </si>
  <si>
    <t>Premiestnenie  vodorovné nad 3 000 m</t>
  </si>
  <si>
    <t>45.11.23 - Vyplňovanie a rekultivačné práce</t>
  </si>
  <si>
    <t>45.11.23</t>
  </si>
  <si>
    <t>01060202</t>
  </si>
  <si>
    <t>Premiestnenie  , vodorovné do 1 000 m</t>
  </si>
  <si>
    <t>01060700</t>
  </si>
  <si>
    <t>Premiestnenie  - nakladanie, prekladanie, vykladanie</t>
  </si>
  <si>
    <t>01080501</t>
  </si>
  <si>
    <t>Povrchové úpravy terénu, úpravy povrchov rozprestretím ornice</t>
  </si>
  <si>
    <t>01080503</t>
  </si>
  <si>
    <t>Povrchové úpravy terénu, úpravy povrchov založením trávnika hydroosevom</t>
  </si>
  <si>
    <t>01080811</t>
  </si>
  <si>
    <t>Povrchové úpravy terénu, sadenie, presádzanie, ošetrovanie, ochrana trávnika</t>
  </si>
  <si>
    <t>45.11.24 - Výkopové práce</t>
  </si>
  <si>
    <t>45.11.24</t>
  </si>
  <si>
    <t>01010401</t>
  </si>
  <si>
    <t>Pripravné práce, odvedenie vody potrubím alebo žľabmi na povrchu</t>
  </si>
  <si>
    <t>01020101</t>
  </si>
  <si>
    <t>Odkopávky a prekopávky humóznej vrstvy ornice</t>
  </si>
  <si>
    <t>01020200</t>
  </si>
  <si>
    <t>Odkopávky a prekopávky nezapažené</t>
  </si>
  <si>
    <t>01020600</t>
  </si>
  <si>
    <t>Odkopávky a prekopávky korýt vodotokov</t>
  </si>
  <si>
    <t>01030102</t>
  </si>
  <si>
    <t>Hĺbené vykopávky jám nezapažených</t>
  </si>
  <si>
    <t>01040401</t>
  </si>
  <si>
    <t>Konštrukcie z hornín - zásypy bez zhutnenia</t>
  </si>
  <si>
    <t>01040402</t>
  </si>
  <si>
    <t>Konštrukcie z hornín - zásypy so zhutnením</t>
  </si>
  <si>
    <t>01040100</t>
  </si>
  <si>
    <t>Konštrukcie z hornín - skládky</t>
  </si>
  <si>
    <t>45.22.11 - Stavebné práce na mostoch</t>
  </si>
  <si>
    <t>45.22.11</t>
  </si>
  <si>
    <t>11010301</t>
  </si>
  <si>
    <t>Základy, dosky z betónu prostého</t>
  </si>
  <si>
    <t>11050202</t>
  </si>
  <si>
    <t>Zvislé konštrukcie inžinierskych stavieb, opory z betónu železového</t>
  </si>
  <si>
    <t>11050212</t>
  </si>
  <si>
    <t>Zvislé konštrukcie inžinierskych stavieb, opory, debnenie z dielcov</t>
  </si>
  <si>
    <t>11050221</t>
  </si>
  <si>
    <t>Zvislé konštrukcie inžinierskych stavieb, opory, výstuž z betonárskej ocele</t>
  </si>
  <si>
    <t>11050602</t>
  </si>
  <si>
    <t>Zvislé konštrukcie inžinierskych stavieb, rímsy z betónu železového</t>
  </si>
  <si>
    <t>11050612</t>
  </si>
  <si>
    <t>Zvislé konštrukcie inžinierskych stavieb, rímsy, debnenie z dielcov</t>
  </si>
  <si>
    <t>11050613</t>
  </si>
  <si>
    <t>Zvislé konštrukcie inžinierskych stavieb, rímsy, debnenie zabudované</t>
  </si>
  <si>
    <t>11050621</t>
  </si>
  <si>
    <t>Zvislé konštrukcie inžinierskych stavieb, rímsy, výstuž z betonárskej ocele</t>
  </si>
  <si>
    <t>11080102</t>
  </si>
  <si>
    <t xml:space="preserve">Vodorovné nosné konštrukcie inžinierskych stavieb, prechodové dosky z betónu železového </t>
  </si>
  <si>
    <t>11080111</t>
  </si>
  <si>
    <t>Vodorovné nosné konštrukcie inžinierskych stavieb, prechodové dosky, debnenie tradičné</t>
  </si>
  <si>
    <t>11080121</t>
  </si>
  <si>
    <t>Vodorovné nosné konštrukcie inžinierskych stavieb, prechodové dosky, výstuž z betonárskej ocele</t>
  </si>
  <si>
    <t>11080202</t>
  </si>
  <si>
    <t>Vodorovné nosné konštrukcie inžinierskych stavieb, mostné dosky, klenby z betónu železového</t>
  </si>
  <si>
    <t>11080211</t>
  </si>
  <si>
    <t>Vodorovné nosné konštrukcie inžinierskych stavieb, mostné dosky, klenby, debnenie tradičné</t>
  </si>
  <si>
    <t>11080221</t>
  </si>
  <si>
    <t>Vodorovné nosné konštrukcie inžinierskych stavieb, mostné dosky, klenby, výstuž z betonárskej ocele</t>
  </si>
  <si>
    <t>21200116</t>
  </si>
  <si>
    <t>Podkladné a vedľajšie konštrukcie, výplň za oporami a protimrazové kliny zo štrkopiesku</t>
  </si>
  <si>
    <t>21200241</t>
  </si>
  <si>
    <t>Podkladné a vedľajšie konštrukcie pod mostnými ložiskami, plastbetón</t>
  </si>
  <si>
    <t>21250107</t>
  </si>
  <si>
    <t>Doplňujúce konštrukcie, zvodidlá oceľové zábradeľné, úroveň zachytenia H2</t>
  </si>
  <si>
    <t>21250320</t>
  </si>
  <si>
    <t>Doplňujúce konštrukcie, odvodnenie mostov, odvodňovače</t>
  </si>
  <si>
    <t>21250422</t>
  </si>
  <si>
    <t>Doplňujúce konštrukcie, dilatačné zariadenia, výplň dilatačných škár</t>
  </si>
  <si>
    <t>21250424</t>
  </si>
  <si>
    <t>Doplňujúce konštrukcie, dilatačné zariadenia, tesnenie dilatačných škár</t>
  </si>
  <si>
    <t>21250906</t>
  </si>
  <si>
    <t>Doplňujúce konštrukcie, drobné zariadenia oceľové</t>
  </si>
  <si>
    <t>21250907</t>
  </si>
  <si>
    <t>Doplňujúce konštrukcie, dodatočné vlepovanie výstuže</t>
  </si>
  <si>
    <t>21251161</t>
  </si>
  <si>
    <t>Doplňujúce konštrukcie, špeciálne pomocné, ošetrenie betonárskej výstuže</t>
  </si>
  <si>
    <t>45.23.32 - Práce na vrchnej stavbe diaľníc, ciest, ulíc, chodníkov a nekrytých parkovísk</t>
  </si>
  <si>
    <t>45.23.32</t>
  </si>
  <si>
    <t>22030330</t>
  </si>
  <si>
    <t>Podkladné a krycie vrstvy z asfaltových zmesí, bitúmenové postreky, nátery,posypy spojovací postrek</t>
  </si>
  <si>
    <t>22030640</t>
  </si>
  <si>
    <t>Podkladné a krycie vrstvy z asfaltových zmesí, bitúmenové vrstvy, asfaltový betón</t>
  </si>
  <si>
    <t>22030641</t>
  </si>
  <si>
    <t>Podkladné a krycie vrstvy z asfaltových zmesí, bitúmenové vrstvy, asfaltový koberec mastixový</t>
  </si>
  <si>
    <t>22030643</t>
  </si>
  <si>
    <t>Podkladné a krycie vrstvy z asfaltových zmesí, bitúmenové vrstvy, asfaltový koberec drenážny</t>
  </si>
  <si>
    <t>22030744</t>
  </si>
  <si>
    <t>Podkladné a krycie vrstvy z asfaltových zmesí, liaty asfalt, cestný</t>
  </si>
  <si>
    <t>22040752</t>
  </si>
  <si>
    <t>Kryty dláždené,chodníkov komunikácií,rigolov - vyplnenie škár elastickou zálievkou</t>
  </si>
  <si>
    <t>22250184</t>
  </si>
  <si>
    <t>Doplňujúce konštrukcie,  zábradlie , plastové</t>
  </si>
  <si>
    <t>22250362</t>
  </si>
  <si>
    <t>Doplňujúce konštrukcie, zvodidlá oceľové</t>
  </si>
  <si>
    <t>22250465</t>
  </si>
  <si>
    <t>Doplňujúce konštrukcie,  ochranné zariadenia, nádstavce na zvodidlá</t>
  </si>
  <si>
    <t>22250671</t>
  </si>
  <si>
    <t>Doplňujúce konštrukcie,  zvislé dopravné značky, normálny alebo zväčšený rozmer</t>
  </si>
  <si>
    <t>22250980</t>
  </si>
  <si>
    <t>Doplňujúce konštrukcie,  obrubníky chodníkové</t>
  </si>
  <si>
    <t>45.23.33 - Práce spodnej stavby spodnej stavby diaľnic, ciest, ulíc a chodníkov</t>
  </si>
  <si>
    <t>45.23.33</t>
  </si>
  <si>
    <t>22010104</t>
  </si>
  <si>
    <t>Podkladné a krycie vrstvy bez spojiva nestmelené, štrkodrva</t>
  </si>
  <si>
    <t>22010204</t>
  </si>
  <si>
    <t>Podkladné a krycie vrstvy bez spojiva, spevnenie krajníc, štrkodrva</t>
  </si>
  <si>
    <t>22020210</t>
  </si>
  <si>
    <t>Podkladné a krycie vrstvy s hydraulickým spojivom, stabilizované z miešacieho centra cementom</t>
  </si>
  <si>
    <t>22030329</t>
  </si>
  <si>
    <t>Podkladné a krycie vrstvy z asfaltových zmesí, bitúmenové postreky, nátery,posypy infiltračný postre</t>
  </si>
  <si>
    <t>45.24.11 - Výstavba prístavov a vodných diel</t>
  </si>
  <si>
    <t>45.24.11</t>
  </si>
  <si>
    <t>32210208</t>
  </si>
  <si>
    <t>Spevnené plochy, drôtokamenné opevnenie z lomového kameňa</t>
  </si>
  <si>
    <t>45.24.70 - Práce na hrubej stavbe úprav tokov, hrádzí, zavlažovacích kanálov a akvaduktov</t>
  </si>
  <si>
    <t>45.24.70</t>
  </si>
  <si>
    <t>11200102</t>
  </si>
  <si>
    <t>Podkladné konštrukcie, podkladné vrstvy, z betónu železového</t>
  </si>
  <si>
    <t>11200111</t>
  </si>
  <si>
    <t>Podkladné konštrukcie, podkladné vrstvy, debnenie tradičné</t>
  </si>
  <si>
    <t>11200121</t>
  </si>
  <si>
    <t>Podkladné konštrukcie, podkladné vrstvy, výstuž z betonárskej ocele</t>
  </si>
  <si>
    <t>32210709</t>
  </si>
  <si>
    <t>Spevnené plochy, dlažba z betónových dosiek</t>
  </si>
  <si>
    <t>45.26.14 - Izolačné práce proti vode</t>
  </si>
  <si>
    <t>45.26.14</t>
  </si>
  <si>
    <t>Izolácie proti vode a zemnej vlhkosti, mostoviek náterivami a tmelmi</t>
  </si>
  <si>
    <t>Izolácie proti vode a zemnej vlhkosti, mostoviek pásmi</t>
  </si>
  <si>
    <t>Izolácie proti vode a zemnej vlhkosti, mostoviek fóliami</t>
  </si>
  <si>
    <t>45.26.22 - Základové práce a vŕtanie vodných studní</t>
  </si>
  <si>
    <t>45.26.22</t>
  </si>
  <si>
    <t>02010309</t>
  </si>
  <si>
    <t>Zlepšovanie základovej pôdy, trativody kompletné z potrubia plastického</t>
  </si>
  <si>
    <t>02060950</t>
  </si>
  <si>
    <t>Spevňovanie hornín a konštrukcií, opláštenie, spevnenie klincovaním zeminy</t>
  </si>
  <si>
    <t>45.26.23 - Betonárske práce</t>
  </si>
  <si>
    <t>45.26.23</t>
  </si>
  <si>
    <t>11250302</t>
  </si>
  <si>
    <t>Doplňujúce konštrukcie, šachty kanalizačné, z betónu železového</t>
  </si>
  <si>
    <t>11250311</t>
  </si>
  <si>
    <t>Doplňujúce konštrukcie, šachty kanalizačné, debnenie tradičné</t>
  </si>
  <si>
    <t>11250321</t>
  </si>
  <si>
    <t>Doplňujúce konštrukcie, šachty kanalizačné, výstuž z betonárskej ocele</t>
  </si>
  <si>
    <t>45.41.10 - Omietkárske práce</t>
  </si>
  <si>
    <t>45.41.10</t>
  </si>
  <si>
    <t>13071513</t>
  </si>
  <si>
    <t>Vonkajšie povrchy podhľadov, reprofilácia podhľadov maltou sanačnou</t>
  </si>
  <si>
    <t>13091513</t>
  </si>
  <si>
    <t>Vonkajšie povrchy stien, reprofilácia zvislých a šikmých plôch maltou sanačnou</t>
  </si>
  <si>
    <t>45.44.20 - Nanášanie ochranných vrstiev - maliarske a natieračské práce</t>
  </si>
  <si>
    <t>45.44.20</t>
  </si>
  <si>
    <t>84010807</t>
  </si>
  <si>
    <t>Náter omietok a betónových povrchov, farba epoxidová</t>
  </si>
  <si>
    <t>84010815</t>
  </si>
  <si>
    <t>Náter omietok a betónových povrchov, farba riediteľná vodou (akrylátová)</t>
  </si>
  <si>
    <t>Časť stavby</t>
  </si>
  <si>
    <t>Cena v € bez DPH</t>
  </si>
  <si>
    <t>Stavba:</t>
  </si>
  <si>
    <t>Všeobecné položky v procese obstarávania stavieb</t>
  </si>
  <si>
    <t>Geodetické práce, vykonávané pred výstavbou, určenie vytyčovacej siete, vytýčenie staveniska, staveb. objektu</t>
  </si>
  <si>
    <t xml:space="preserve">VŠEOBECNÉ POLOŽKY V PROCESE OBSTARÁVANIA STAVIEB  </t>
  </si>
  <si>
    <t xml:space="preserve"> </t>
  </si>
  <si>
    <t>DEMOLAČNÉ PRÁCE</t>
  </si>
  <si>
    <t>vybúranie prostej a vyrovnávacej vrstvy z betónu na NK - podklad MZ: (673,33*(0,08+0,03)*1,2=</t>
  </si>
  <si>
    <t>odbúranie prostého betónu na NK, protispád ríms spádovej betónovej plochy - podklad MZ, priemer hr. 10cm: 0,1*1,6*(12,3+11,9)*1,1=</t>
  </si>
  <si>
    <t xml:space="preserve">odbúranie výrastkov dobetónovania spodnej plochy NK, odhad 80% plochy: 0,8*0,1*(50-1)*11,2 = </t>
  </si>
  <si>
    <t>búranie ríms jazdný pás:     0,271*(4,8+37,5+2,9+3,3+31,9+5,5)*1,1=</t>
  </si>
  <si>
    <t>búranie ríms spádový betón:     (0,75*0,37+0,13*0,2)*(12,3+11,9)*1,1=</t>
  </si>
  <si>
    <t>spolu</t>
  </si>
  <si>
    <t>odstránenie izolácie mostovky - celý povrch mosta hr. 5 mm</t>
  </si>
  <si>
    <t xml:space="preserve">pôvodná izolácia   mostovky proti vode- Mastix </t>
  </si>
  <si>
    <t>0502088230</t>
  </si>
  <si>
    <t>Vybúranie konštrukcií a demontáže, vonkajších oceľových potrubí pre ďalšie použitie, do 250 kg</t>
  </si>
  <si>
    <t>demotáž zatrubnenia potoka z rúr DN 800</t>
  </si>
  <si>
    <t>odstránenie existujúcich odvodňovačov a vpustov na moste (odhad 50kg/ks): (2+2)*50=200,0 kg</t>
  </si>
  <si>
    <t>0503016201</t>
  </si>
  <si>
    <t>Odstránenie spevnených plôch a vozoviek, krytov bitúmenových hr.do 100 mm</t>
  </si>
  <si>
    <t>kryt vozovky  z liateho asfaltu hr. 40 mm</t>
  </si>
  <si>
    <t>0503026102</t>
  </si>
  <si>
    <t>Odstránenie spevnených plôch a vozoviek, podkladov z betónu prostého hr. nad 100 do 200 mm</t>
  </si>
  <si>
    <t>cementová stabilizácia hr. 180 mm (odhad) na predmostiach - vrstvy vozovky S2: 7*(20+20)*1,05=</t>
  </si>
  <si>
    <t>odstránenie zvodidiel na moste: 37,84+20+12+31,83+12+27=</t>
  </si>
  <si>
    <t>odstránenie zvodidiel pred a za mostom: ((8+27)+(20+8))*1,05=</t>
  </si>
  <si>
    <t>odstránenie zábradlia na rímsach bet. plôch : 12,3+11,9=</t>
  </si>
  <si>
    <t xml:space="preserve">odstránenie časti existujúceho oplotenia </t>
  </si>
  <si>
    <t>odstránenie tabule ev. č. mosta</t>
  </si>
  <si>
    <t>odstránenie tabule diaľnica</t>
  </si>
  <si>
    <t>odstránenie smer. tabuľa Banská Bystrica</t>
  </si>
  <si>
    <t>odbúranie rigola za oporou 2, bet tvárnice TBM1 dĺžka 43m s ulozenim: 0,1*43*1=</t>
  </si>
  <si>
    <t>0508020003</t>
  </si>
  <si>
    <t>Doprava vybúraných hmôt vodorovná, nad 1 km</t>
  </si>
  <si>
    <t>odvoz vybúraného materiálu na najbližšiu skládku (vrátane naloženia a vyloženia):</t>
  </si>
  <si>
    <t>33,68*2,5+141,77*2,3+673,33*0,005*1,9+673,33*0,04*1,1+0,2+294*0,18*1,9*+245,12*0,1+1192,63*0,003*2,5+1263,47*0,04*2,3+550,15*0,06*2,3=</t>
  </si>
  <si>
    <t>0509020501</t>
  </si>
  <si>
    <t>Doplňujúce práce, úprava stavebných konštrukcií vysokotlakým vodným lúčom železobetónových, čistenie</t>
  </si>
  <si>
    <t>očistenie horného povrchu nosnej konštrukcie po odbúraní</t>
  </si>
  <si>
    <t>očistenie krídiel - rubová, pohľadová a bočná strana do úrovne výkopu: ((8,42+5,64+1,0*5,9)+((15,26+10,7+7,5*1,0)+(3,8+1,43+3,8*1,0)))=</t>
  </si>
  <si>
    <t>očistenie opôr čelnej plochy opory po úroveň výkopu - predpoklad 291,2m n.m. pre upravené koryto potoka + sanácia opôr rubovej plochy opory O1+O2: ((106,03+53,07+18,89+0,17*21,71) + (102,79+38,67+20,41+0,17*15,51)) =</t>
  </si>
  <si>
    <t>očistenie výustného objektu a existujúcej časti jímky - rubová, pohľadová bočná strana do úrovne výkopu hr. do 30 mm (80%) Jímka na výtoku + jímka na vtoku: ((4,51+3,3+1,4*1,3+1,5*1,0)+(2,03+5,72*1,55+8,8*1,1+0,87+0,25*0,95))*0,8*1,05=</t>
  </si>
  <si>
    <t>očistenie bočnej zvislej plochy NK hr. do 30 mm (80%): 2*0,64*13,2*0,8=</t>
  </si>
  <si>
    <t>vyčistenie dilatačnej škáry medzi NK a závernou stienkou
2*0,62*51,01*1,1=</t>
  </si>
  <si>
    <t>0509036101</t>
  </si>
  <si>
    <t>Doplňujúce práce, frézovanie betónového krytu, podkladu hr. 20 mm</t>
  </si>
  <si>
    <t xml:space="preserve">obrokovanie povrchu spriahajúcej dosky, spádovej vrstvy pred položením izolácie vozovka: </t>
  </si>
  <si>
    <t>obrokovanie povrchu spriahajúcej dosky, spádovej vrstvy pred položením izolácie, spádová vrstva podľa požiadavky dodávateľa izolácie spádovej vrstvy: 139+204=</t>
  </si>
  <si>
    <t>0509036203</t>
  </si>
  <si>
    <t>Doplňujúce práce, frézovanie bitúmenového krytu, podkladu hr. 40 mm</t>
  </si>
  <si>
    <t>frézovanie asfaltových vrstiev v hr. 40 mm:</t>
  </si>
  <si>
    <t>úseky S1+S2+S3: 7*(10+20+34,85+20+12,2)*1,05=</t>
  </si>
  <si>
    <t>0509036205</t>
  </si>
  <si>
    <t>Doplňujúce práce, frézovanie bitúmenového krytu, podkladu hr. 60 mm</t>
  </si>
  <si>
    <t>S2: 7*(20+20)*1,05=</t>
  </si>
  <si>
    <t>na moste S1: 7*34,85*1,05=</t>
  </si>
  <si>
    <t>0509046201</t>
  </si>
  <si>
    <t>Doplňujúce práce, diamantové rezanie bitúmenového krytu, podkladu hr. do 50 mm</t>
  </si>
  <si>
    <t>zarezanie škár vo vozovke pred a za mostom pred frézovaním: 2*7=</t>
  </si>
  <si>
    <t>zarezanie škár vo vozovke pred a za mostom pre zálievku po položení vozovky: 2*7=</t>
  </si>
  <si>
    <t>zarezanie škár vo vozovke pred a za mostom pre zálievku kontakt NK a prechodová doska: 21,7+16,0=</t>
  </si>
  <si>
    <t>jadrové vŕtanie odvzdušňovacích otvorov fi 30mm (vrátane ochrannej sieťky proti vtákom): 49*2*0,1=</t>
  </si>
  <si>
    <t>jadrové vrty D 60 mm pre odvodňovacie trubičky izolácie: 4*(0,6+0,15)1,1=</t>
  </si>
  <si>
    <t>vrty pre rúry nových odvodňovačov d 180 mm</t>
  </si>
  <si>
    <t>4*(0,6+0,15)=</t>
  </si>
  <si>
    <t>jadrové vrty v krídlach pre vyústenie drenáže za oporami D 200 mm: (1,16+1,16+1,16+0,2+0,4)*1,1=</t>
  </si>
  <si>
    <t>0509050302</t>
  </si>
  <si>
    <t>Doplňujúce práce, vŕtanie do železobetónu stropov</t>
  </si>
  <si>
    <t>vrty D=20mm pre spriahajúce tŕne spádovej vrstvy fi=16mm: 1617*0,11*1,1=</t>
  </si>
  <si>
    <t>vrty pre kotvy ríms D 28mm: (119+3+3)*0,2=</t>
  </si>
  <si>
    <t>vrty D=20mm pre spriahajúce tŕne úožného prahu spriahajúcej dosky fi=16mm: (218+156)*0,23=</t>
  </si>
  <si>
    <t>vrty D=14mm pre spriahajúce tŕne jímky fi=16mm: 2*30*0,2=</t>
  </si>
  <si>
    <t>Úprava staveniska a vyčisťovacie práce</t>
  </si>
  <si>
    <t>vyčistenie okolia mosta po dokončení v rozsahu stavebných prác, vtok 15m, výtok 10m na bočné strany mosta, svahy pása medzi vetvou I/69, 7m od opory č. 2: (15*(8+6)+10*(12+6)+886+7*43,74)*1,05=</t>
  </si>
  <si>
    <t>vyčistenie krajníc: 10*1*4*1,05=</t>
  </si>
  <si>
    <t>0101010301</t>
  </si>
  <si>
    <t>Pripravné práce, odstránenie porastov krovín na suchu</t>
  </si>
  <si>
    <t>odstránenie krovín: svahy potoka vtok 15m, výtok 10m: (15*(8+6)+10*(12+6))*1,05=</t>
  </si>
  <si>
    <t>odstránenie krovín za oporou č.2: 7*43,74*1,05=</t>
  </si>
  <si>
    <t>0106020404</t>
  </si>
  <si>
    <t>Premiestnenie  vodorovné nad 3 000 m, vyklčovaných krovín</t>
  </si>
  <si>
    <t>730,99*0,5=</t>
  </si>
  <si>
    <t>Vyplňovanie a rekultivačné práce</t>
  </si>
  <si>
    <t>0106020201</t>
  </si>
  <si>
    <t>Premiestnenie  výkopku resp. rúbaniny, vodorovné do 1 000 m, tr. horniny 1-4</t>
  </si>
  <si>
    <t>dovoz využiteľnej zeminy a ornice na zahumusovanie (zemina prerastená vegetáciou): ((15*(8+6)+10*(12+6)+(6,5*51,01)+886+7*43,74)*0,15-0,35*(10,9+19,2+14,7+8,6))*1,05=</t>
  </si>
  <si>
    <t>odvoz využiteľnej zeminy a ornice (zemina prerastená vegetáciou): ((15*(8+6)+10*(12+6)+(6,5*51,01)+886+7*43,74)*0,15)*1,05=</t>
  </si>
  <si>
    <t>0106070007</t>
  </si>
  <si>
    <t>Premiestnenie  výkopku resp. rúbaniny - nakladanie, prekladanie, vykladanie,  tr. horniny 1-4</t>
  </si>
  <si>
    <t>naloženie použiteľnej zeminiy z výkopov a ornice (zemina prerastená vegetáciou) na zahumusovanie:((15*(8+6)+10*(12+6)+(6,5*51,01)+886+7*43,74)*0,15-0,35*(10,9+19,2+14,7+8,6))*1,05=</t>
  </si>
  <si>
    <t>0108050102</t>
  </si>
  <si>
    <t>Povrchové úpravy terénu, úpravy povrchov rozprestretím ornice na svahu</t>
  </si>
  <si>
    <t>spätné uloženie ornice svahov: ((15*(8+6)+10*(12+6)+886+7*43,74)-1*(10,9+19,2+14,7+8,6))*1,05=</t>
  </si>
  <si>
    <t>0108050301</t>
  </si>
  <si>
    <t>Povrchové úpravy terénu, úpravy povrchov založením trávnika hydroosevom na ornicu</t>
  </si>
  <si>
    <t>0108081102</t>
  </si>
  <si>
    <t>Povrchové úpravy terénu, sadenie, presádzanie, ošetrovanie, ochrana trávnika na svahu</t>
  </si>
  <si>
    <t>Výkopové práce</t>
  </si>
  <si>
    <t>0101040104</t>
  </si>
  <si>
    <t>Pripravné práce, odvedenie vody potrubím alebo žľabmi na povrchu do 1 000 mm</t>
  </si>
  <si>
    <t>zatrubnenie koryta v rozsahu terénnych úprav pred a za mostom, celk. dĺžka 85m, rúra DN 800</t>
  </si>
  <si>
    <t>0102010101</t>
  </si>
  <si>
    <t>Odkopávky a prekopávky humóznej vrstvy ornice tr. horniny 1-2</t>
  </si>
  <si>
    <t>odstránenie zeminy prerastenej vegetáciou na svahových kužeľoch a v okolí krídel - spätne sa uloží (hr.150mm): (15*(8+6)+10*(12+6)+886+7*43,74)*0,15*1,05=</t>
  </si>
  <si>
    <t>0102020007</t>
  </si>
  <si>
    <t>Odkopávky a prekopávky nezapažené, tr. horniny 1-4</t>
  </si>
  <si>
    <t>odkop pre klincovaný svah, v mieste spevnenych plôch pred a za mostom sa kope do hĺbky 0,35</t>
  </si>
  <si>
    <t>(0,35-0,15)*(10,9+19,2+14,7+8,6)*1,05=</t>
  </si>
  <si>
    <t>0102060007</t>
  </si>
  <si>
    <t>Odkopávky a prekopávky korýt vodotokov, tr. horniny 1-4</t>
  </si>
  <si>
    <t>prehĺbenie koryta - pod mostom 1/2Lkoryta: 0,5*51,01*(1,62+4,79+1,12)*1,1=</t>
  </si>
  <si>
    <t>prehĺbenie koryta - pod mostom 1/2Lkoryta: 0,5*51,01*(0,96+4,79+0,5)*1,1=</t>
  </si>
  <si>
    <t>Prehlbenie koryta - v miestach kridiel</t>
  </si>
  <si>
    <t>(4,5+3,4)*(0,96+4,79+0,5)*1,1=</t>
  </si>
  <si>
    <t>prehlbenie koryta - v miestach od krídiel do konca úpravy  s napojením na pôvoné koryto</t>
  </si>
  <si>
    <t>(9,7+7,7)*(4,79)*1,1=83,35</t>
  </si>
  <si>
    <t>0103010207</t>
  </si>
  <si>
    <t>Hĺbené vykopávky jám nezapažených, tr. horniny 1-4</t>
  </si>
  <si>
    <t>prechodová oblasť mosta: v mieste bez prechodovej dosky + v mieste uloženia prechodovej dosky: O1: (2,47*29,31+6,54*21,70 + O2: 35,5*1,12+15,51*7,88)*1,05=</t>
  </si>
  <si>
    <t>rub krídel: (4,9*(2,5+0,6+4,5+0,6)+1,11*(2+0,6))*1,05=</t>
  </si>
  <si>
    <t>Pre Gabionový múr: 10,1*(3,91+0,6)*1,05=</t>
  </si>
  <si>
    <t>V mieste jímky: 5,5*0,883*1,05=</t>
  </si>
  <si>
    <t>0104040102</t>
  </si>
  <si>
    <t>Konštrukcie z hornín - zásypy bez zhutnenia, tr.horniny 3</t>
  </si>
  <si>
    <t>ochranný zásyp zo štrkopiesku, ochraný zásyp zo štrkopieku, alebo štrkodrviny fr. 0-32, jímka: 3,24*0,6 =</t>
  </si>
  <si>
    <t>0104040203</t>
  </si>
  <si>
    <t>Konštrukcie z hornín - zásypy so zhutnením, tr.horniny 4</t>
  </si>
  <si>
    <t>ochranný zásyp zo štrkopiesku, ochraný zásyp zo štrkopieku, alebo štrkodrviny fr. 0-32, hr. 0,42 v mieste uloženi prechodovej dosky, resp. 0,6 v mieste napojenia na odvodnenie opory: (0,42*13,02+0,6*(9,11+40,42)+ 0,42*9,31+0,6*(14,62+21,51))*1,02 =</t>
  </si>
  <si>
    <t xml:space="preserve">ochranný zásyp zo štrkopiesku, ochrana spádovej vrstvy betónovej plochy hr. 150mm: 0,15*(163+235)= </t>
  </si>
  <si>
    <t>0104010007</t>
  </si>
  <si>
    <t>Konštrukcie z hornín - skládky  tr.horniny 1-4</t>
  </si>
  <si>
    <t>ornica</t>
  </si>
  <si>
    <t>odkop svahu</t>
  </si>
  <si>
    <t>výkop vodotokov</t>
  </si>
  <si>
    <t>výkop jám</t>
  </si>
  <si>
    <t>0106020401</t>
  </si>
  <si>
    <t>Premiestnenie  výkopku resp. rúbaniny, vodorovné nad 3 000 m, tr. horniny 1-4</t>
  </si>
  <si>
    <t>odvoz nevhodnej zeminy zeminy zo stavby do 40 km</t>
  </si>
  <si>
    <t>Stavebné práce na mostoch</t>
  </si>
  <si>
    <t>1101030103</t>
  </si>
  <si>
    <t>Základy, dosky z betónu prostého, tr. C 12/15 (B 15)</t>
  </si>
  <si>
    <t>podkladný betón pod prech. dosky: 0,1*(75,1+61,7)*1,05=</t>
  </si>
  <si>
    <t>1105020207</t>
  </si>
  <si>
    <t>Zvislé konštrukcie inžinierskych stavieb, opory z betónu železového, tr. C 30/37 (B 35)</t>
  </si>
  <si>
    <t>úložný prah prechodovej dosky: 0,152*(21,7+15,5)*1,05=</t>
  </si>
  <si>
    <t>1105021201</t>
  </si>
  <si>
    <t>Zvislé konštrukcie inžinierskych stavieb, opory, debnenie z dielcov drevených</t>
  </si>
  <si>
    <t>úložný prah prechodovej dosky: 4*0,152+0,756*(21,7+15,5)=</t>
  </si>
  <si>
    <t>(vrátane líšt pre skosenie hrán)</t>
  </si>
  <si>
    <t>1105022106</t>
  </si>
  <si>
    <t>Zvislé konštrukcie inžinierskych stavieb, opory, výstuž z betonárskej ocele B500B</t>
  </si>
  <si>
    <t>úložný prah prechodovej dosky (525,2+377,6)/1000*1,05=</t>
  </si>
  <si>
    <t>1105060208</t>
  </si>
  <si>
    <t>Zvislé konštrukcie inžinierskych stavieb, rímsy z betónu železového, tr. C 35/45 (B 45)</t>
  </si>
  <si>
    <t>rímsy vrátane kotiev ríms, úpravy povrchu metličkovaním a ochranného náteru: (0,262*(13,2+13,2)+0,214*(31,88+37,5))*1,05=</t>
  </si>
  <si>
    <t>1105061201</t>
  </si>
  <si>
    <t>Zvislé konštrukcie inžinierskych stavieb, rímsy, debnenie z dielcov drevených</t>
  </si>
  <si>
    <t>(0,95+0,27)*(13,2+13,2)+(0,27+0,29)*(31,88+37,5)+2*(0,214+0,262)=</t>
  </si>
  <si>
    <t>1105061303</t>
  </si>
  <si>
    <t>Zvislé konštrukcie inžinierskych stavieb, rímsy, debnenie zabudované betónové</t>
  </si>
  <si>
    <t>stratené debnenie, napr. cementovláknita doska hr.20mm kontakt rímsa a spádová vrstva: 2*0,20*13,2=</t>
  </si>
  <si>
    <t>1105062106</t>
  </si>
  <si>
    <t xml:space="preserve"> Zvislé konštrukcie inžinierskych stavieb, rímsy, výstuž z betonárskej ocele 10505</t>
  </si>
  <si>
    <t>1108010207</t>
  </si>
  <si>
    <t>Vodorovné nosné konštrukcie inžinierskych stavieb, prechodové dosky  z betónu železového, tr. C 30/37 (B 35)</t>
  </si>
  <si>
    <t>(78,08+63,15)*0,271*1,05=</t>
  </si>
  <si>
    <t>1108011101</t>
  </si>
  <si>
    <t>Vodorovné nosné konštrukcie inžinierskych stavieb, prechodové dosky, debnenie tradičné drevené</t>
  </si>
  <si>
    <t>0,271*(28,75+25,42)=</t>
  </si>
  <si>
    <t>1108012106</t>
  </si>
  <si>
    <t>Vodorovné nosné konštrukcie inžinierskych stavieb, prechodové dosky, výstuž z betonárskej ocele 10505</t>
  </si>
  <si>
    <t>(3772,01+2987,05)/1000=</t>
  </si>
  <si>
    <t>1108020207</t>
  </si>
  <si>
    <t>Vodorovné nosné konštrukcie inžinierskych stavieb, mostné dosky, klenby z betónu železového, tr. C 30/37 (B 35)</t>
  </si>
  <si>
    <t>spádový betón:   1,4*51,01*1,15=</t>
  </si>
  <si>
    <t>1108021101</t>
  </si>
  <si>
    <t>Vodorovné nosné konštrukcie inžinierskych stavieb, mostné dosky, klenby, debnenie tradičné drevené</t>
  </si>
  <si>
    <t>1108022106</t>
  </si>
  <si>
    <t>Vodorovné nosné konštrukcie inžinierskych stavieb, mostné dosky, klenby, výstuž z betonárskej ocele 10505</t>
  </si>
  <si>
    <t xml:space="preserve">výstuž dosky betonárska B500B </t>
  </si>
  <si>
    <t>1108022107</t>
  </si>
  <si>
    <t>Vodorovné nosné konštrukcie inžinierskych stavieb, mostné dosky, výstuž z betonárskej ocele zo zváraných sietí</t>
  </si>
  <si>
    <t>tesniaca vrstva v prech. oblasti: (0,3*((29,31+1,0)*1,55+21,70*4,41)+ 0,3*((15,51+1,0)*3,84+35,50*1,21))*1,05=</t>
  </si>
  <si>
    <t>zásyp v prech. oblasti (zhutnený zásyp + klin): - zhutnený zásyp za oporou, vrátane presahu na vyvedenie odvodnenia cez oporu v mieste uloženia prechodovej dosky,  (1,52*(21,71+2*0,5) + O2: (4,16+2,61)*(16+2*0,5))*1,1 =149,6100 [A]</t>
  </si>
  <si>
    <t>podliatie stĺpikov zvodidla: 0,28*0,42*61=</t>
  </si>
  <si>
    <t>podliatie stĺpikov zvodidla: 0,12*0,16*2*18=</t>
  </si>
  <si>
    <t>Doplňujúce konštrukcie, zvodidlá oceľové zábradeľné, s modrou reflexnou úpravou upevnenou na zvodidle, úroveň zachytenia H2, vrátane prechodovej zvodnice s napojením na existujúce zvodidlá pred a za mostom spolu 4x</t>
  </si>
  <si>
    <t>schválené zábradľové zvodidlo H2 na rímse jazdného pása bez výplne, vrátane kotvenia, PKO, kompl. dodávka (vrátane dilatačných dielov): (37,84+3,68)+(31,83+4,1)=</t>
  </si>
  <si>
    <t>mostné odvodňovače, atypický odvodňovač s tanierom z nehrdzavejúcej ocele: 2</t>
  </si>
  <si>
    <t>mostný odvodňovač - rošt geokompozitu vrátane separačnej a filtračnej geotextílie: 2</t>
  </si>
  <si>
    <t>2125042204</t>
  </si>
  <si>
    <t>Doplňujúce konštrukcie, dilatačné zariadenia, výplň dilatačných škár z polystyrénu</t>
  </si>
  <si>
    <t>medzi prech. doskou a záv. stienkou: (0,32+0,14+0,08)*(20,66+15,5)=</t>
  </si>
  <si>
    <t>medzi rímsou a opevnením na konci mosta 0,4*(0,8+1,56+0,46+0,8)*1,02=</t>
  </si>
  <si>
    <t>medzi oporou, krídlami a obetónovaním svahou potoka 0,25*(57,5+53,86+3,23)=</t>
  </si>
  <si>
    <t>2125042402</t>
  </si>
  <si>
    <t>Doplňujúce konštrukcie, dilatačné zariadenia, tesnenie dilatačných škár asf. zálievkou  modifikovanou</t>
  </si>
  <si>
    <t>pozdĺž obruby na moste (31,88+0,27)+(37,5+0,25)=</t>
  </si>
  <si>
    <t>predtesnenie pozdĺž prech. dosiek a závernej stienky: 20,66+15,5=</t>
  </si>
  <si>
    <t>predtesnenie v okolí mostných odvodňovačov: 2*1,15=</t>
  </si>
  <si>
    <t>Rezaná škára v mieste obrusnej vrstvy na kontakte NK a prechodovej dosky 21,76+17,02=</t>
  </si>
  <si>
    <t>)*1,02</t>
  </si>
  <si>
    <t>2125042403</t>
  </si>
  <si>
    <t>Doplňujúce konštrukcie, dilatačné zariadenia, tesnenie dilatačných škár polyuretánovým tmelom</t>
  </si>
  <si>
    <t>medzi rímsou a opevnením na konci mosta: (0,8+1,56+0,46+0,8)*1,02=</t>
  </si>
  <si>
    <t>medzi oporou, krídlami a obetónovaním svahou potoka (57,5+53,86+3,23)=</t>
  </si>
  <si>
    <t>spádová vrstva kontakt nosníka a záverného múrika, narezanie škáry a vyplnenie tmelom 2*51,01=</t>
  </si>
  <si>
    <t>tesniaci elastický tmel prítlačnej lišty: (35,2+29) =</t>
  </si>
  <si>
    <t>2125042405</t>
  </si>
  <si>
    <t>Doplňujúce konštrukcie, dilatačné zariadenia, tesnenie dilatačných škár gumovým pásikom</t>
  </si>
  <si>
    <t>pozdĺž obruby na moste: (31,88+0,27)+(37,5+0,25)=</t>
  </si>
  <si>
    <t>predtesnenie pozdĺž prech. dosiek: 20,66+15,5=</t>
  </si>
  <si>
    <t>trubičky odvodnenia izolácie, vrátane krytu proti vleteniu vtákov+ v mieste odvonenia spádovej vrstvy (komplet dodávka a osadenie), nehrdzavejúci materiál: (4+2)</t>
  </si>
  <si>
    <t>spriahajúce tŕne spádovej vrstvy fi 16 mm:  1617*0,11=</t>
  </si>
  <si>
    <t>spriahajúce tŕne úložného prahu spriahajúcej dosky fi 16 mm:     (218+156)*0,23=</t>
  </si>
  <si>
    <t>spriahajúce tŕne jímky fi 16 mm:     2*30*0,2=</t>
  </si>
  <si>
    <t>ochranný náter odhalenej betonárskej výstuže (odhad na celú stavbu: 10% plochy NK spodného + horného povrchu+bočné strany nosníka): 0,1*(571,31+673,33+2*0,6*13,2)=</t>
  </si>
  <si>
    <t>PKO výstuže vrubového kĺbu PD (príprava povrchu Sa 2 1/2 + žiarové zinkovanie + epoxidový náter 80um) 32+44ks: 0,079*(32+44)*0,24*1,02=</t>
  </si>
  <si>
    <t>Práce na vrchnej stavbe diaľníc, ciest, ulíc, chodníkov a nekrytých parkovísk</t>
  </si>
  <si>
    <t>2203033003</t>
  </si>
  <si>
    <t>Podkladné a krycie vrstvy z asfaltových zmesí, bitúmenové postreky, nátery,posypy spojovací postrek z emulzie</t>
  </si>
  <si>
    <t>spojovací postrek PSE emulzný 0,5 kg/m2 (skladba S2): (138,28+136,24)*1,05=</t>
  </si>
  <si>
    <t>2203033004</t>
  </si>
  <si>
    <t>Podkladné a krycie vrstvy z asfaltových zmesí, bitúmenové postreky, nátery,posypy spojovací postrek z modifikovanej emulzie</t>
  </si>
  <si>
    <t>spojovací postrek PSE-M emulzný modifikovaný 0,3 kg/m2 (skladba S3): (68,84+87,19)*1,05=</t>
  </si>
  <si>
    <t>spojovací postrek PSE-M emulzný modifikovaný 0,5 kg/m2 (skladba S1+S2):  (245,27+138,28+136,24)*1,05=</t>
  </si>
  <si>
    <t>zaklinenie, drva 4/8 - 2,0 kg/m2</t>
  </si>
  <si>
    <t>LM:     84,8*(16,0-2*0,02)*1,05=</t>
  </si>
  <si>
    <t>PM:     84,8*(16,0-2*0,02)*1,05=</t>
  </si>
  <si>
    <t>medzisúčet</t>
  </si>
  <si>
    <t>2203064001</t>
  </si>
  <si>
    <t>Podkladné a krycie vrstvy z asfaltových zmesí, bitúmenové vrstvy, asfaltový betón  triedy I</t>
  </si>
  <si>
    <t>asfaltový betón hrubozrnný ACp 22-I na predmostiach hr. 80 mm: 274,52*0,08*1,05=</t>
  </si>
  <si>
    <t>2203064004</t>
  </si>
  <si>
    <t>Podkladné a krycie vrstvy z asfaltových zmesí, bitúmenové vrstvy, asfaltový betón  triedy I modifikovaný</t>
  </si>
  <si>
    <t>asfaltový betón strednozrnný modifikovaný ACl 16-I, PMB hr. 60 mm na predmostiach: 274,52*0,06*1,05=</t>
  </si>
  <si>
    <t>rezerva 15% na prípadné vyrovnávky:16,47*0,15*1,05=</t>
  </si>
  <si>
    <t>2203064101</t>
  </si>
  <si>
    <t>Podkladné a krycie vrstvy z asfaltových zmesí, bitúmenové vrstvy, asfaltový koberec mastixový triedy I</t>
  </si>
  <si>
    <t xml:space="preserve">obrusná vrstva vozovky na moste a predmostiach SMAo11-I hr. 40 mm: </t>
  </si>
  <si>
    <t>( 245,27+138,28+136,24+68,84+87,19)*0,04*1,05=</t>
  </si>
  <si>
    <t>2203064302</t>
  </si>
  <si>
    <t>Podkladné a krycie vrstvy z asfaltových zmesí, bitúmenové vrstvy, asfaltový koberec drenážny z plastbetónu</t>
  </si>
  <si>
    <t>trubičky odvodnenia izolácie + v mieste odvonenia spádovej vrstvy (komplet dodávka a osadenie), nehrdzavejúci materiál: (4+2)*(0,6+0,15)*1,1=4,95 m</t>
  </si>
  <si>
    <t>odvodňovací prúžok na moste (priečny, pozdĺžny): 0,1*0,045*(33,11+22,75)*1,05=</t>
  </si>
  <si>
    <t>2203074405</t>
  </si>
  <si>
    <t>Podkladné a krycie vrstvy z asfaltových zmesí, liaty asfalt cestný strednozrnný modifikovaný</t>
  </si>
  <si>
    <t>liaty aslaft strednozrnný modifikovaný MA16, PMB hr. 45 mm na moste: 245,13*0,045*1,05=</t>
  </si>
  <si>
    <t>2204075202</t>
  </si>
  <si>
    <t>Kryty dláždené,chodníkov komunikácií,rigolov - vyplnenie škár elastickou zálievkou bez predtesnenia</t>
  </si>
  <si>
    <t>škára vo vozovke na koncoch úprav a pozdĺž krídel: 11*4+12+13+11+16+18=</t>
  </si>
  <si>
    <t>2225018401</t>
  </si>
  <si>
    <t>Doplňujúce konštrukcie, zábradlie plastové, mostov a múrov, vrátane vrchného náteru RAL 1028</t>
  </si>
  <si>
    <t>kompozitné zábradlie na rímsových častiach spádovej plochy výšky 1,1m (vrátane kotvenia): 12,8+12,04=</t>
  </si>
  <si>
    <t>kompozitné zábradlie v mieste gabiónového múru výšky 1,1m (vrátane kotvenia a úpravy gabiónu-kapsa pre kotvenie: 2,14+3,75 =</t>
  </si>
  <si>
    <t>2225036201</t>
  </si>
  <si>
    <t>Doplňujúce konštrukcie, zvodidlá oceľové s jednou zvodnicou, vrátane elektro izolačnej prechodovej zvodnice 4x</t>
  </si>
  <si>
    <t>schválené cestné jednostranné zvodidlo H2 so zvodnicou NH4 na predmostiach vrátane PKO: (12-4,1)+20+(12-3,68)+27=</t>
  </si>
  <si>
    <t>(vrátane smerových stĺpikov a vyplnenia betónom po jadrovom vŕtaní)</t>
  </si>
  <si>
    <t>modré reflexné stĺpiky, odhad upresní sa v čase realizácie podľa geometrie rozmiestnenia stĺpikov</t>
  </si>
  <si>
    <t>2225067105</t>
  </si>
  <si>
    <t>Doplňujúce konštrukcie, zvislé dopravné značky, normálny alebo zväčšený rozmer hliníkové s fóliou</t>
  </si>
  <si>
    <t>označenie mosta - tabuľa s ev. č. + diaľnica+smer. Tabuľa BBystrica vrátane montáže: 4,0</t>
  </si>
  <si>
    <t>2225098001</t>
  </si>
  <si>
    <t>Doplňujúce konštrukcie,  obrubníky chodníkové betónové</t>
  </si>
  <si>
    <t>na konci krídla O2 pre prostredie XF4: 5*1,1</t>
  </si>
  <si>
    <t>Práce na spodnej stavby diaľnic, ciest, ulíc a chodníkov a nekrytých parkovísk</t>
  </si>
  <si>
    <t>ŠD 0-32mm pod stabilizáciu cementom na predmostiach hr. 240 mm: (138,28+136,24)*0,24*1,1=</t>
  </si>
  <si>
    <t>spevnenie krajníc štrkodrvou,  fr. 16-32mm, hr. 100 mm s podkladom zo separačnej geotextílie na predmostiach: (5,5+27,7+26,22+9,53)*0,1*1,1=</t>
  </si>
  <si>
    <t>cementová stabilizácia CBGM C5/6 na predmostiach hr. 180 mm: (138,28+136,24)*0,18=</t>
  </si>
  <si>
    <t>Podkladné a krycie vrstvy z asfaltových zmesí, bitúmenové postreky, nátery,posypy infiltračný postrek</t>
  </si>
  <si>
    <t>2203032901</t>
  </si>
  <si>
    <t>Podkladné a krycie vrstvy z asfaltových zmesí, bitúmenové postreky, nátery,posypy infiltračný postrek z asfaltu</t>
  </si>
  <si>
    <t>infiltračný postrek 1,0 kg/m2 na cem. stab. na predmostiach: (138,28+136,24)=</t>
  </si>
  <si>
    <t>Výstavba prístavov a vodných diel</t>
  </si>
  <si>
    <t>3221020801</t>
  </si>
  <si>
    <t>Spevnené plochy, drôtokamenné opevnenie z lomového kameňa upraveného</t>
  </si>
  <si>
    <t>geodoska ostrohranné kamenivo 0-63, gabiónový múr, vrátane separačnej geotextílie O1: 0,854+(3,9+0,5)=</t>
  </si>
  <si>
    <t>Práce na hrubej stavbe úprav tokov, hrádzí, zavlažovacích kanálov a akvaduktov</t>
  </si>
  <si>
    <t>1120010208</t>
  </si>
  <si>
    <t>Podkladné konštrukcie, podkladné vrstvy z betónu železového, tr. C 35/45 (B 45)</t>
  </si>
  <si>
    <t>Opevnenie svahov koryta, svahy koryta + V mieste vyustneho objektu +  V mieste vyustneho objektu Zaklad: =(2*(1,081+0,413)*(53,86+57,5)+11,5*0,25 + 0,462*3,274)*1,1=</t>
  </si>
  <si>
    <t>dobetónovanie rozdielu terénu medzi klincovaným svahom a upraveným korytom, vrátane spriahnuia s opevnením koryta a osadenia kari site 6/6 a 100/100: 0,55*2,2</t>
  </si>
  <si>
    <t>1120011101</t>
  </si>
  <si>
    <t>Podkladné konštrukcie, podkladné vrstvy, debnenie tradičné drevené</t>
  </si>
  <si>
    <t>(4*(1,081+0,413) + 3,85*0,25 + 0,462)*1,1=</t>
  </si>
  <si>
    <t>1120012106</t>
  </si>
  <si>
    <t>Podkladné konštrukcie, podkladné vrstvy, výstuž z betonárskej ocele B500B</t>
  </si>
  <si>
    <t>1120012107</t>
  </si>
  <si>
    <t>Podkladné konštrukcie, podkladné vrstvy, výstuž zo zváraných sietí</t>
  </si>
  <si>
    <t>3221070901</t>
  </si>
  <si>
    <t>Spevnené plochy, dlažba z betónových dosiek na sucho</t>
  </si>
  <si>
    <t>Izolačné práce proti vode</t>
  </si>
  <si>
    <t>Izolácie proti vode a zemnej vlhkosti, mostoviek náterivami a tmelmi na ploche vodorovnej</t>
  </si>
  <si>
    <t>izolácia proti zemnej vlhkosti 1xpenetračný + 2x asfaltový náter</t>
  </si>
  <si>
    <t>prechodové dosky:     78,08+63,15=</t>
  </si>
  <si>
    <t>ochranný náter ríms:     1,22*((31,88+0,27)+(37,5+0,25))+1,84*(13,2+13,2)=</t>
  </si>
  <si>
    <t>Izolácie proti vode a zemnej vlhkosti, mostoviek náterivami a tmelmi na ploche zvislej</t>
  </si>
  <si>
    <t>rub opory, krídla a jímky O1+O2+krídla+Jímka: ((18,9+13,02+55,41) + (9,85+22,01+39,6) + ((3,9+2,5*1,0)+(9,0+2,12*1,0)+(1,0+0,8*1)) + (1,1+(2,2+1,3)+(2*0,5*(2,33+1,94)+2,38*0,75)))*1,02=188,7650 [A]</t>
  </si>
  <si>
    <t>čelá opôr, krídiel, výustný objekt odkopaná zemina do úrovne hor. Hrany upraveného koryta  - predpoklad: (2*1,1*51,01 + 1,1*(2,5+3,07+4,5+2,0))*1,02=</t>
  </si>
  <si>
    <t>prechodové dosky  + konštrukcia jímky: 0,271*(28,75+25,42)=</t>
  </si>
  <si>
    <t>Izolácie proti vode a zemnej vlhkosti, mostoviek pásmi na ploche vodorovnej</t>
  </si>
  <si>
    <t>izolácia mostovky: 245,13+0,95*(34+38)+0,8*2*13,2=</t>
  </si>
  <si>
    <t>izolácia prechodovej dosky: 1,27*(20,7+16)=</t>
  </si>
  <si>
    <t>Izolácie proti vode a zemnej vlhkosti, mostoviek fóliami na ploche zvislej</t>
  </si>
  <si>
    <t>asfaltový pás s prieťažnosťou min. 30%, prestup drenážnej trubky cez krídla, izolácia rubu, izolačný pás 700x700m: 0,70*0,7*4*1,1=</t>
  </si>
  <si>
    <t>Izolácie proti vode a zemnej vlhkosti, mostoviek fóliami na ploche vodorovnej</t>
  </si>
  <si>
    <t>izolačná fólia v prechodovej oblasti O1+O2+odpovedajúca časť krídiel + jímka: (((29,31+1)*1,85+21,7*4,7) + ((15,51+1)*4,2+(35,5+1)*1,9) + 1,5*(2,2+1,3))*1,05=</t>
  </si>
  <si>
    <t>separačná fólia, "lepenka" medzi spádovou vrstvou a záverným múrikom opory, vrátane prítlačnej lišty dĺžky 35,2+29=64,2 m - predpoklad: 2*0,62*51,01*1,1=</t>
  </si>
  <si>
    <t>nopová fólia na rube opôr (plošná drenáž) s hr. min 6mm O1+O2+odpovedajúca časť krídiel + jímka: ((46,35+25,5)+(27+29) + 1,0*(2,2+1,3))*1,05=</t>
  </si>
  <si>
    <t>hydroizolačná fólia spádovej vrstvy so zatiahnutím na záver. Múrik opoty L=500: 214,64+146,54+0,12*(35,2+29) + 0,5*(26,5+33)=</t>
  </si>
  <si>
    <t>Základové práce a vŕtanie vodných studní</t>
  </si>
  <si>
    <t>0201030906</t>
  </si>
  <si>
    <t>Zlepšovanie základovej pôdy, trativody kompletné z potrubia plastického DN 160 mm</t>
  </si>
  <si>
    <t>priečna drenáž za oporami vrátane vyústenia na terén D 150 mm (vrátane obsypu ŠP) O1+O2: (1,1*23,1) + (18+2) =</t>
  </si>
  <si>
    <t>DN 150 pre prestup drenážnej trubky cez krídla, vrátane príruby, tesniaceho tmelum trvale pružného tmelu a predtesnenia - vyústenie pred oporu PVC DN200 mm O2</t>
  </si>
  <si>
    <t>0201030908</t>
  </si>
  <si>
    <t>Zlepšovanie základovej pôdy, trativody kompletné z potrubia plastického DN 200 mm</t>
  </si>
  <si>
    <t>priečna drenáž za oporami vrátane vyústenia na terén D 200 mm (vrátane obsypu ŠP) O1+O2: (27,5+2) + (34+2) =</t>
  </si>
  <si>
    <t>DN 200 pre prestup drenážnej trubky cez krídla, vrátane príruby, tesniaceho tmelum trvale pružného tmelu a predtesnenia - vyústenie pred oporu PVC DN200 mm O1+O2: (1,3+1,3)*1,1=</t>
  </si>
  <si>
    <t>klincovaný svah:     4,1*4,7=</t>
  </si>
  <si>
    <t>Betonárske práce</t>
  </si>
  <si>
    <t>1125030208</t>
  </si>
  <si>
    <t>Doplňujúce konštrukcie, šachty kanalizačné, z betónu železového tr. C 35/45 (B 45)</t>
  </si>
  <si>
    <t>Jímka vrátane ochranného náteru: (0,390*(0,908+0,727)+2,38*0,5*0,39)*1,1=</t>
  </si>
  <si>
    <t>1125031101</t>
  </si>
  <si>
    <t>Doplňujúce konštrukcie, šachty kanalizačné, debnenie tradičné, drevené</t>
  </si>
  <si>
    <t>debnenie: 2*((0,908+0,727)+(2,38*0,5)+(0,2*0,39)+(0,39*0,5))*1,1 =</t>
  </si>
  <si>
    <t>1125032106</t>
  </si>
  <si>
    <t>Doplňujúce konštrukcie, šachty kanalizačné, výstuž z betonárskej ocele B500B</t>
  </si>
  <si>
    <t>1125032107</t>
  </si>
  <si>
    <t>Podkladné konštrukcie, šachty kanalizačné, výstuž z betonárskej ocele zo zváraných sietí</t>
  </si>
  <si>
    <t>Omietkárske práce</t>
  </si>
  <si>
    <t>sanácia podhľadu NK hr. do 30 mm (jednovrstvová), vrátane spojovacieho mostíka (80% plochy): (51,01*11,2)*0,8=</t>
  </si>
  <si>
    <t>sanácia podhľadu NK hr. 30 - 50 mm (dvojvrstvová), vrátane spojovacieho mostíka (20% plochy): 2*(51,01*11,2)*0,2=</t>
  </si>
  <si>
    <t>sanácia krídiel - rubová, pohľadová a bočná strana do úrovne výkopu hr. do 30 mm (80%) O1+O2: ((8,42+5,64+1,0*5,9)+((15,26+10,7+7,5*1,0)+(3,8+1,43+3,8*1,0)))*0,8*1,05=</t>
  </si>
  <si>
    <t>sanácia krídiel - rubová, pohľadová a bočná strana do úrovne výkopu hr. 30-50 mm (20%) O1+O2: ((8,42+5,64+1,0*5,9)+((15,26+10,7+7,5*1,0)+(3,8+1,43+3,8*1,0)))*0,2*1,05=</t>
  </si>
  <si>
    <t>sanácia opôr čelnej plochy opory po úroveň výkopu - predpoklad 291,2m n.m. pre upravené koryto potoka + sanácia opôr rubovej plochy opory O1+O2  hr. do 30 mm (80%): ((106,03+53,07+18,89+0,17*21,71) + (102,79+38,67+20,41+0,17*15,51))*0,8*1,05=</t>
  </si>
  <si>
    <t>sanácia opôr čelnej plochy opory po úroveň výkopu - predpoklad 291,2m n.m. pre upravené koryto potoka + sanácia opôr rubovej plochy opory O1+O2 hr. 30-50 mm  (20%): ((106,03+53,07+18,89+0,17*21,71) + (102,79+38,67+20,41+0,17*15,51))*0,2*1,05=</t>
  </si>
  <si>
    <t>sanácia výustného objektu a existujúcej časti jímky - rubová, pohľadová bočná strana do úrovne výkopu hr. do 30 mm (80%) Jímka na výtoku + jímka na vtoku: ((4,51+3,3+1,4*1,3+1,5*1,0)+(2,03+5,72*1,55+8,8*1,1+0,87+0,25*0,95))*0,8*1,05=</t>
  </si>
  <si>
    <t>sanácia výustného objektu a existujúcej časti jímky - rubová, pohľadová bočná strana do úrovne výkopu hr. 30-50 mm (20%) Jímka na výtoku + jímka na vtoku: 2*((4,51+3,3+1,4*1,3+1,5*1,0)+(2,03+5,72*1,55+8,8*1,1+0,87+0,25*0,95))*0,2*1,05=</t>
  </si>
  <si>
    <t>sanácia bočnej zvislej plochy NK hr. do 30 mm (80%): 2*0,64*13,2*0,8*1,05=</t>
  </si>
  <si>
    <t>sanácia bočnej zvislej plochy NK hr. 30-50 mm  (20%): 2*2*0,64*13,2*0,2*1,05=</t>
  </si>
  <si>
    <t>Nanášanie ochranných vrstiev - maliarske a natieračské práce</t>
  </si>
  <si>
    <t>8401080703</t>
  </si>
  <si>
    <t>Náter omietok a betónových povrchov, farba epoxidová, mostoviek</t>
  </si>
  <si>
    <t>zapečaťujúca vrstva</t>
  </si>
  <si>
    <t>8401081501</t>
  </si>
  <si>
    <t>Náter omietok a betónových povrchov, farba riediteľná vodou (akrylátová), stropov</t>
  </si>
  <si>
    <t>zjednocujúci náter podhľadu NK:  (51,01*11,2)=</t>
  </si>
  <si>
    <t>8401081502</t>
  </si>
  <si>
    <t>Náter omietok a betónových povrchov, farba riediteľná vodou (akrylátová), stien</t>
  </si>
  <si>
    <t>zjednocujúci náter opôr a krídel - pohľadová a bočná strana do úrovne -20cm upraveného koryta O1+O2: ((6,88+1,0*5,25)+72,39) + ((11,62+1,0*6,7+2,37+1,0*3,1)+71,16)=</t>
  </si>
  <si>
    <t>zjednocujúci náter výustného objektu, jímka, Vtok + výtok: ((1,55*5,72+5,72+2,85+(2*0,5*(2,33+1,94)+2*2,38*0,75)) + ((2,5+1,4*1,3+1,5*1,0)+5,6)=</t>
  </si>
  <si>
    <t>zjednocujúci náter bočné plochy NK: 2*0,64*13,2=</t>
  </si>
  <si>
    <t>zjednocujúci náter šachty zeleného pása: 3*1,2*PI()*1,0=</t>
  </si>
  <si>
    <t>R1</t>
  </si>
  <si>
    <t>R1-168.1 vetva v križovatke Kováčová</t>
  </si>
  <si>
    <t>000</t>
  </si>
  <si>
    <t>Všeobecné položky v procese obstarávanie stavieb</t>
  </si>
  <si>
    <t>Celkom za 000 - Všeobecné položky v procese obstarávanie stavieb</t>
  </si>
  <si>
    <t xml:space="preserve">201- Most ev.č. R1-168.1 vetva v križovatke Kováčová </t>
  </si>
  <si>
    <t xml:space="preserve">Celkom za 201 - Most ev.č. R1-168.1 vetva v križovatke Kováčová </t>
  </si>
  <si>
    <t>Časť stavby:</t>
  </si>
  <si>
    <t>Klasifikácia stavby:</t>
  </si>
  <si>
    <t>Klasifikácia</t>
  </si>
  <si>
    <t>Výkaz konštrukcií a pracovných činností</t>
  </si>
  <si>
    <t>produkcie</t>
  </si>
  <si>
    <t>p.č.</t>
  </si>
  <si>
    <t>položka</t>
  </si>
  <si>
    <t>podpoložka</t>
  </si>
  <si>
    <t>výkaz</t>
  </si>
  <si>
    <t>výmera</t>
  </si>
  <si>
    <t xml:space="preserve">45.00.00  </t>
  </si>
  <si>
    <t>201</t>
  </si>
  <si>
    <t>1</t>
  </si>
  <si>
    <t>2</t>
  </si>
  <si>
    <t>3</t>
  </si>
  <si>
    <t xml:space="preserve">KPL       </t>
  </si>
  <si>
    <t>- vybudovanie vytyčovacej siete stavby: 1=1,0000 [A]</t>
  </si>
  <si>
    <t>4</t>
  </si>
  <si>
    <t>Geodetické práce, vykonávané po výstavbe, zameranie skutočného vyhotovenia stavby</t>
  </si>
  <si>
    <t>- porealizačné zameranie skutočného stavu: 1=1,0000 [A]</t>
  </si>
  <si>
    <t>- zameranie mostného zvršku pred demolačnými prácami: 1=1,0000 [B]</t>
  </si>
  <si>
    <t>Celkom:A+B=2,0000 [C]</t>
  </si>
  <si>
    <t>5</t>
  </si>
  <si>
    <t>Geodetické práce, vykonávané po výstavbe, kontrolné merania zhotoveného objektu</t>
  </si>
  <si>
    <t>- zameranie po odfrézovaní vozovkových vrstiev: 1=1,0000 [A]</t>
  </si>
  <si>
    <t>- zameranie povrchu nosnej konštrukcie po odbúraní mostného zvršku: 1=1,0000 [B]</t>
  </si>
  <si>
    <t>6</t>
  </si>
  <si>
    <t>00040221</t>
  </si>
  <si>
    <t>Projektové práce, stavebná časť (stavebné objekty vrátane ich technického vybavenia), náklady na vypracovanie realizačnej dokumentácie</t>
  </si>
  <si>
    <t>7</t>
  </si>
  <si>
    <t>00040222</t>
  </si>
  <si>
    <t>Projektové práce, stavebná časť (stavebné objekty vrátane ich technického vybavenia), náklady na dokumentáciu skutočného zhotovenia stavby</t>
  </si>
  <si>
    <t>- dokumentácia skutočného realizovania stavby (vrátane mostného zošitu a prevádzkového poriadku): 1=1,0000 [A]</t>
  </si>
  <si>
    <t>(3x tlačená forma + 1x digitálna forma)</t>
  </si>
  <si>
    <t xml:space="preserve">00030114       </t>
  </si>
  <si>
    <t xml:space="preserve">00030116       </t>
  </si>
  <si>
    <t xml:space="preserve">00030331       </t>
  </si>
  <si>
    <t xml:space="preserve">00030332       </t>
  </si>
  <si>
    <t xml:space="preserve">00040221       </t>
  </si>
  <si>
    <t xml:space="preserve">00040222       </t>
  </si>
  <si>
    <t xml:space="preserve"> - zameranie mostného objektu pred realizáciou: 1=1,0000 [A]</t>
  </si>
  <si>
    <t>03050413</t>
  </si>
  <si>
    <t>Ochranné konštrukcie, záchytná sieť z umelých vlákien</t>
  </si>
  <si>
    <t>KPL</t>
  </si>
  <si>
    <t>- zaplachtovanie pozdĺž pracoviska (vizuálna prekážka medzi pracoviskom a doipravným priestorom): 1=1,0000 [B]</t>
  </si>
  <si>
    <t xml:space="preserve">45.11.11  </t>
  </si>
  <si>
    <t xml:space="preserve">03050413       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</si>
  <si>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</si>
  <si>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</si>
  <si>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</si>
  <si>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</si>
  <si>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</si>
  <si>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</si>
  <si>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</si>
  <si>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</si>
  <si>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</si>
  <si>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</si>
  <si>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</si>
  <si>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</si>
  <si>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</si>
  <si>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</si>
  <si>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</si>
  <si>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</si>
  <si>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</si>
  <si>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</si>
  <si>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</si>
  <si>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</si>
  <si>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</si>
  <si>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</si>
  <si>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</si>
  <si>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</si>
  <si>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</si>
  <si>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</si>
  <si>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</si>
  <si>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</si>
  <si>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</si>
  <si>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</si>
  <si>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</si>
  <si>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</si>
  <si>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</si>
  <si>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</si>
  <si>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</si>
  <si>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</si>
  <si>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</si>
  <si>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</si>
  <si>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</si>
  <si>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</si>
  <si>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</si>
  <si>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</si>
  <si>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</si>
  <si>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</si>
  <si>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</si>
  <si>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</si>
  <si>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</si>
  <si>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</si>
  <si>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</si>
  <si>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</si>
  <si>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</si>
  <si>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</si>
  <si>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</si>
  <si>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</si>
  <si>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</si>
  <si>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</si>
  <si>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</si>
  <si>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</si>
  <si>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</si>
  <si>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</si>
  <si>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</si>
  <si>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</si>
  <si>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61010101</t>
  </si>
  <si>
    <t>6101010101</t>
  </si>
  <si>
    <t>61010102</t>
  </si>
  <si>
    <t>61010103</t>
  </si>
  <si>
    <t>6101010102</t>
  </si>
  <si>
    <t>6101010202</t>
  </si>
  <si>
    <t>6101010301</t>
  </si>
  <si>
    <t>6101010302</t>
  </si>
  <si>
    <t xml:space="preserve">45.26.14  </t>
  </si>
  <si>
    <t xml:space="preserve">61010101       </t>
  </si>
  <si>
    <t>Izolácie proti vode a zemnej vlhkosti, bežných konštrukcií náterivami a tmelmi</t>
  </si>
  <si>
    <t xml:space="preserve">61010102       </t>
  </si>
  <si>
    <t>Izolácie proti vode a zemnej vlhkosti, bežných konštrukcií pásmi</t>
  </si>
  <si>
    <t xml:space="preserve">61010103       </t>
  </si>
  <si>
    <t>Izolácie proti vode a zemnej vlhkosti, bežných konštrukcií fóliami</t>
  </si>
  <si>
    <t>SO 201: 860,50*1,9=1 634,95</t>
  </si>
  <si>
    <t>SO 201: 365,50*0,7=255,85</t>
  </si>
  <si>
    <t>T</t>
  </si>
  <si>
    <t>M3</t>
  </si>
  <si>
    <t>M2</t>
  </si>
  <si>
    <t>M</t>
  </si>
  <si>
    <t>KS</t>
  </si>
  <si>
    <t>KG</t>
  </si>
  <si>
    <t>Zmluvné požiadavky poplatky za skládky vybúraných hmôt a sutí vrátane poplatu za skládkovanie a recykláciu</t>
  </si>
  <si>
    <t>Zmluvné požiadavky poplatky za skládky zeminy vrátane poplatu za recykláciu</t>
  </si>
  <si>
    <t>Miesto:...............................</t>
  </si>
  <si>
    <t>........................................................</t>
  </si>
  <si>
    <t>Dátum:...............................</t>
  </si>
  <si>
    <t>pečiatka a podpis oprávnenej osoby</t>
  </si>
  <si>
    <t>Miesto:..............................</t>
  </si>
  <si>
    <t>..................................................</t>
  </si>
  <si>
    <t>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</si>
</sst>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"/>
    <numFmt numFmtId="166" formatCode="###\ ###\ ###\ ##0.00"/>
    <numFmt numFmtId="167" formatCode="\ ###\ ###\ ###\ ##0.00"/>
  </numFmts>
  <fonts count="3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el"/>
      <charset val="238"/>
    </font>
    <font>
      <sz val="8"/>
      <name val="Trebuchet MS"/>
      <family val="2"/>
      <charset val="238"/>
    </font>
    <font>
      <b/>
      <sz val="8"/>
      <name val="Trebuchet MS"/>
      <family val="2"/>
      <charset val="238"/>
    </font>
    <font>
      <b/>
      <sz val="8"/>
      <color indexed="8"/>
      <name val="Ariel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el"/>
      <charset val="238"/>
    </font>
    <font>
      <b/>
      <sz val="9"/>
      <name val="Ariel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1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2" borderId="0"/>
    <xf numFmtId="0" fontId="6" fillId="2" borderId="0"/>
    <xf numFmtId="0" fontId="2" fillId="0" borderId="0"/>
    <xf numFmtId="0" fontId="13" fillId="0" borderId="0"/>
    <xf numFmtId="0" fontId="24" fillId="0" borderId="0"/>
    <xf numFmtId="0" fontId="25" fillId="0" borderId="0"/>
    <xf numFmtId="0" fontId="24" fillId="5" borderId="0"/>
  </cellStyleXfs>
  <cellXfs count="238">
    <xf numFmtId="0" fontId="0" fillId="0" borderId="0" xfId="0"/>
    <xf numFmtId="4" fontId="21" fillId="3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center" wrapText="1"/>
    </xf>
    <xf numFmtId="0" fontId="6" fillId="2" borderId="1" xfId="2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/>
    </xf>
    <xf numFmtId="0" fontId="21" fillId="0" borderId="2" xfId="0" applyFont="1" applyBorder="1" applyAlignment="1" applyProtection="1">
      <alignment horizontal="left" vertical="center" wrapText="1"/>
    </xf>
    <xf numFmtId="4" fontId="21" fillId="0" borderId="2" xfId="0" applyNumberFormat="1" applyFont="1" applyBorder="1" applyAlignment="1" applyProtection="1">
      <alignment horizontal="right" vertical="center"/>
    </xf>
    <xf numFmtId="0" fontId="21" fillId="0" borderId="4" xfId="0" applyFont="1" applyBorder="1" applyAlignment="1" applyProtection="1">
      <alignment vertical="center" wrapText="1"/>
    </xf>
    <xf numFmtId="0" fontId="24" fillId="0" borderId="12" xfId="5" applyBorder="1" applyAlignment="1" applyProtection="1">
      <alignment wrapText="1"/>
    </xf>
    <xf numFmtId="0" fontId="24" fillId="0" borderId="10" xfId="5" quotePrefix="1" applyBorder="1" applyProtection="1"/>
    <xf numFmtId="0" fontId="24" fillId="0" borderId="10" xfId="5" applyBorder="1" applyAlignment="1" applyProtection="1">
      <alignment wrapText="1"/>
    </xf>
    <xf numFmtId="0" fontId="24" fillId="0" borderId="10" xfId="5" applyBorder="1" applyProtection="1"/>
    <xf numFmtId="166" fontId="24" fillId="0" borderId="10" xfId="5" applyNumberFormat="1" applyBorder="1" applyProtection="1"/>
    <xf numFmtId="0" fontId="24" fillId="0" borderId="1" xfId="5" applyBorder="1" applyAlignment="1" applyProtection="1">
      <alignment wrapText="1"/>
    </xf>
    <xf numFmtId="0" fontId="21" fillId="0" borderId="4" xfId="0" applyFont="1" applyBorder="1" applyAlignment="1" applyProtection="1">
      <alignment horizontal="left" vertical="center" wrapText="1"/>
    </xf>
    <xf numFmtId="0" fontId="21" fillId="0" borderId="5" xfId="0" applyFont="1" applyBorder="1" applyAlignment="1" applyProtection="1">
      <alignment vertical="center" wrapText="1"/>
    </xf>
    <xf numFmtId="49" fontId="21" fillId="0" borderId="2" xfId="0" applyNumberFormat="1" applyFont="1" applyBorder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right"/>
    </xf>
    <xf numFmtId="0" fontId="3" fillId="2" borderId="1" xfId="1" applyBorder="1" applyAlignment="1" applyProtection="1">
      <alignment vertical="center"/>
    </xf>
    <xf numFmtId="0" fontId="3" fillId="2" borderId="10" xfId="1" applyBorder="1" applyAlignment="1" applyProtection="1">
      <alignment vertical="center"/>
    </xf>
    <xf numFmtId="0" fontId="3" fillId="2" borderId="1" xfId="1" applyBorder="1" applyAlignment="1" applyProtection="1">
      <alignment horizontal="center" vertical="center"/>
    </xf>
    <xf numFmtId="49" fontId="22" fillId="0" borderId="2" xfId="0" applyNumberFormat="1" applyFont="1" applyBorder="1" applyAlignment="1" applyProtection="1">
      <alignment horizontal="left" vertical="center"/>
    </xf>
    <xf numFmtId="0" fontId="22" fillId="0" borderId="2" xfId="0" applyFont="1" applyBorder="1" applyAlignment="1" applyProtection="1">
      <alignment horizontal="left" vertical="center"/>
    </xf>
    <xf numFmtId="0" fontId="22" fillId="0" borderId="2" xfId="0" applyFont="1" applyBorder="1" applyAlignment="1" applyProtection="1">
      <alignment horizontal="left" vertical="center" wrapText="1"/>
    </xf>
    <xf numFmtId="4" fontId="22" fillId="0" borderId="2" xfId="0" applyNumberFormat="1" applyFont="1" applyBorder="1" applyAlignment="1" applyProtection="1">
      <alignment horizontal="right" vertical="center"/>
    </xf>
    <xf numFmtId="0" fontId="23" fillId="0" borderId="2" xfId="0" applyFont="1" applyBorder="1" applyAlignment="1" applyProtection="1">
      <alignment vertical="center"/>
    </xf>
    <xf numFmtId="0" fontId="23" fillId="0" borderId="2" xfId="0" applyFont="1" applyBorder="1" applyAlignment="1" applyProtection="1">
      <alignment vertical="center" wrapText="1"/>
    </xf>
    <xf numFmtId="4" fontId="23" fillId="0" borderId="2" xfId="0" applyNumberFormat="1" applyFont="1" applyBorder="1" applyAlignment="1" applyProtection="1">
      <alignment horizontal="right" vertical="center"/>
    </xf>
    <xf numFmtId="0" fontId="6" fillId="2" borderId="1" xfId="2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21" fillId="0" borderId="3" xfId="0" applyFont="1" applyBorder="1" applyAlignment="1" applyProtection="1">
      <alignment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vertical="center" wrapText="1"/>
    </xf>
    <xf numFmtId="166" fontId="25" fillId="0" borderId="10" xfId="6" applyNumberFormat="1" applyBorder="1" applyProtection="1"/>
    <xf numFmtId="0" fontId="6" fillId="2" borderId="1" xfId="2" applyBorder="1" applyAlignment="1" applyProtection="1">
      <alignment vertical="center" wrapText="1"/>
    </xf>
    <xf numFmtId="0" fontId="6" fillId="2" borderId="6" xfId="2" applyBorder="1" applyAlignment="1" applyProtection="1">
      <alignment horizontal="left" vertical="center" wrapText="1"/>
    </xf>
    <xf numFmtId="0" fontId="6" fillId="2" borderId="7" xfId="2" applyBorder="1" applyAlignment="1" applyProtection="1">
      <alignment horizontal="left" vertical="center" wrapText="1"/>
    </xf>
    <xf numFmtId="0" fontId="21" fillId="0" borderId="8" xfId="0" applyFont="1" applyBorder="1" applyAlignment="1" applyProtection="1">
      <alignment horizontal="left" vertical="center" wrapText="1"/>
    </xf>
    <xf numFmtId="0" fontId="21" fillId="0" borderId="9" xfId="0" applyFont="1" applyBorder="1" applyAlignment="1" applyProtection="1">
      <alignment horizontal="left" vertical="center" wrapText="1"/>
    </xf>
    <xf numFmtId="0" fontId="25" fillId="0" borderId="15" xfId="6" applyBorder="1" applyProtection="1"/>
    <xf numFmtId="0" fontId="25" fillId="0" borderId="16" xfId="6" applyBorder="1" applyProtection="1"/>
    <xf numFmtId="166" fontId="25" fillId="0" borderId="17" xfId="6" applyNumberFormat="1" applyBorder="1" applyProtection="1"/>
    <xf numFmtId="0" fontId="0" fillId="6" borderId="0" xfId="0" applyFill="1" applyAlignment="1" applyProtection="1">
      <alignment horizont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0" xfId="0" applyFill="1" applyAlignment="1" applyProtection="1">
      <alignment horizontal="left" indent="2"/>
      <protection locked="0"/>
    </xf>
    <xf numFmtId="0" fontId="2" fillId="0" borderId="0" xfId="3" applyAlignment="1" applyProtection="1">
      <alignment wrapText="1" shrinkToFit="1"/>
    </xf>
    <xf numFmtId="0" fontId="2" fillId="0" borderId="0" xfId="3" applyProtection="1"/>
    <xf numFmtId="0" fontId="0" fillId="0" borderId="0" xfId="0" applyAlignment="1" applyProtection="1">
      <alignment horizontal="left" indent="2"/>
    </xf>
    <xf numFmtId="0" fontId="2" fillId="6" borderId="0" xfId="3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49" fontId="9" fillId="0" borderId="0" xfId="3" applyNumberFormat="1" applyFont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</xf>
    <xf numFmtId="0" fontId="12" fillId="0" borderId="0" xfId="4" applyFont="1" applyProtection="1"/>
    <xf numFmtId="0" fontId="12" fillId="0" borderId="0" xfId="4" applyFont="1" applyAlignment="1" applyProtection="1">
      <alignment wrapText="1" shrinkToFit="1"/>
    </xf>
    <xf numFmtId="0" fontId="2" fillId="0" borderId="0" xfId="3" applyAlignment="1" applyProtection="1">
      <alignment horizontal="left"/>
    </xf>
    <xf numFmtId="164" fontId="2" fillId="0" borderId="0" xfId="3" applyNumberFormat="1" applyProtection="1"/>
    <xf numFmtId="49" fontId="17" fillId="0" borderId="0" xfId="3" applyNumberFormat="1" applyFont="1" applyAlignment="1" applyProtection="1">
      <alignment horizontal="left" vertical="top" wrapText="1"/>
    </xf>
    <xf numFmtId="49" fontId="9" fillId="0" borderId="0" xfId="3" applyNumberFormat="1" applyFont="1" applyAlignment="1" applyProtection="1">
      <alignment horizontal="left" vertical="top"/>
    </xf>
    <xf numFmtId="49" fontId="8" fillId="0" borderId="0" xfId="3" applyNumberFormat="1" applyFont="1" applyAlignment="1" applyProtection="1">
      <alignment horizontal="center" vertical="center" wrapText="1"/>
    </xf>
    <xf numFmtId="49" fontId="10" fillId="0" borderId="0" xfId="3" applyNumberFormat="1" applyFont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/>
    </xf>
    <xf numFmtId="0" fontId="0" fillId="0" borderId="1" xfId="4" applyFont="1" applyBorder="1" applyAlignment="1" applyProtection="1">
      <alignment horizontal="center"/>
    </xf>
    <xf numFmtId="0" fontId="0" fillId="0" borderId="19" xfId="4" applyFont="1" applyBorder="1" applyAlignment="1" applyProtection="1">
      <alignment horizontal="center"/>
    </xf>
    <xf numFmtId="0" fontId="0" fillId="0" borderId="16" xfId="4" applyFont="1" applyBorder="1" applyProtection="1"/>
    <xf numFmtId="0" fontId="0" fillId="0" borderId="15" xfId="4" applyFont="1" applyBorder="1" applyAlignment="1" applyProtection="1">
      <alignment horizontal="center"/>
    </xf>
    <xf numFmtId="0" fontId="0" fillId="0" borderId="17" xfId="4" applyFont="1" applyBorder="1" applyProtection="1"/>
    <xf numFmtId="0" fontId="0" fillId="0" borderId="1" xfId="4" applyFont="1" applyBorder="1" applyAlignment="1" applyProtection="1">
      <alignment horizontal="left"/>
    </xf>
    <xf numFmtId="0" fontId="0" fillId="0" borderId="1" xfId="4" applyFont="1" applyBorder="1" applyAlignment="1" applyProtection="1">
      <alignment horizontal="center"/>
    </xf>
    <xf numFmtId="0" fontId="0" fillId="0" borderId="7" xfId="4" applyFont="1" applyBorder="1" applyAlignment="1" applyProtection="1">
      <alignment horizontal="center"/>
    </xf>
    <xf numFmtId="0" fontId="0" fillId="0" borderId="18" xfId="4" applyFont="1" applyBorder="1" applyAlignment="1" applyProtection="1">
      <alignment horizontal="center"/>
    </xf>
    <xf numFmtId="0" fontId="0" fillId="0" borderId="10" xfId="4" applyFont="1" applyBorder="1" applyAlignment="1" applyProtection="1">
      <alignment horizontal="center"/>
    </xf>
    <xf numFmtId="0" fontId="0" fillId="0" borderId="18" xfId="4" applyFont="1" applyBorder="1" applyAlignment="1" applyProtection="1">
      <alignment horizontal="left"/>
    </xf>
    <xf numFmtId="0" fontId="0" fillId="0" borderId="18" xfId="4" applyFont="1" applyBorder="1" applyProtection="1"/>
    <xf numFmtId="0" fontId="0" fillId="0" borderId="14" xfId="4" applyFont="1" applyBorder="1" applyProtection="1"/>
    <xf numFmtId="49" fontId="26" fillId="0" borderId="1" xfId="3" applyNumberFormat="1" applyFont="1" applyBorder="1" applyAlignment="1" applyProtection="1">
      <alignment horizontal="center" vertical="center" wrapText="1"/>
    </xf>
    <xf numFmtId="49" fontId="20" fillId="0" borderId="1" xfId="3" applyNumberFormat="1" applyFont="1" applyBorder="1" applyAlignment="1" applyProtection="1">
      <alignment horizontal="center" vertical="center" wrapText="1"/>
    </xf>
    <xf numFmtId="49" fontId="12" fillId="0" borderId="19" xfId="3" applyNumberFormat="1" applyFont="1" applyBorder="1" applyAlignment="1" applyProtection="1">
      <alignment horizontal="left" vertical="top" wrapText="1"/>
    </xf>
    <xf numFmtId="49" fontId="20" fillId="0" borderId="1" xfId="3" applyNumberFormat="1" applyFont="1" applyBorder="1" applyAlignment="1" applyProtection="1">
      <alignment horizontal="left" vertical="top"/>
    </xf>
    <xf numFmtId="49" fontId="13" fillId="0" borderId="19" xfId="3" applyNumberFormat="1" applyFont="1" applyBorder="1" applyAlignment="1" applyProtection="1">
      <alignment horizontal="left" vertical="top" wrapText="1"/>
    </xf>
    <xf numFmtId="0" fontId="1" fillId="0" borderId="1" xfId="3" applyFont="1" applyBorder="1" applyProtection="1"/>
    <xf numFmtId="165" fontId="13" fillId="0" borderId="19" xfId="3" applyNumberFormat="1" applyFont="1" applyBorder="1" applyAlignment="1" applyProtection="1">
      <alignment horizontal="left" vertical="center"/>
    </xf>
    <xf numFmtId="49" fontId="12" fillId="0" borderId="1" xfId="3" applyNumberFormat="1" applyFont="1" applyBorder="1" applyAlignment="1" applyProtection="1">
      <alignment horizontal="center" vertical="center"/>
    </xf>
    <xf numFmtId="164" fontId="12" fillId="0" borderId="11" xfId="3" applyNumberFormat="1" applyFont="1" applyBorder="1" applyAlignment="1" applyProtection="1">
      <alignment horizontal="center" vertical="center"/>
    </xf>
    <xf numFmtId="0" fontId="12" fillId="0" borderId="12" xfId="4" applyFont="1" applyBorder="1" applyProtection="1"/>
    <xf numFmtId="49" fontId="20" fillId="0" borderId="12" xfId="3" applyNumberFormat="1" applyFont="1" applyBorder="1" applyAlignment="1" applyProtection="1">
      <alignment horizontal="center" vertical="top" wrapText="1"/>
    </xf>
    <xf numFmtId="49" fontId="26" fillId="0" borderId="12" xfId="3" applyNumberFormat="1" applyFont="1" applyBorder="1" applyAlignment="1" applyProtection="1">
      <alignment horizontal="left" vertical="top"/>
    </xf>
    <xf numFmtId="49" fontId="20" fillId="0" borderId="12" xfId="3" applyNumberFormat="1" applyFont="1" applyBorder="1" applyAlignment="1" applyProtection="1">
      <alignment horizontal="left" vertical="top"/>
    </xf>
    <xf numFmtId="49" fontId="12" fillId="0" borderId="12" xfId="3" applyNumberFormat="1" applyFont="1" applyBorder="1" applyAlignment="1" applyProtection="1">
      <alignment horizontal="left" vertical="top" wrapText="1"/>
    </xf>
    <xf numFmtId="4" fontId="20" fillId="0" borderId="12" xfId="3" applyNumberFormat="1" applyFont="1" applyBorder="1" applyAlignment="1" applyProtection="1">
      <alignment horizontal="center" vertical="center"/>
    </xf>
    <xf numFmtId="4" fontId="26" fillId="0" borderId="13" xfId="3" applyNumberFormat="1" applyFont="1" applyBorder="1" applyAlignment="1" applyProtection="1">
      <alignment horizontal="center" vertical="top"/>
    </xf>
    <xf numFmtId="4" fontId="12" fillId="0" borderId="11" xfId="3" applyNumberFormat="1" applyFont="1" applyBorder="1" applyAlignment="1" applyProtection="1">
      <alignment horizontal="center" vertical="top"/>
    </xf>
    <xf numFmtId="0" fontId="12" fillId="0" borderId="12" xfId="3" applyFont="1" applyBorder="1" applyAlignment="1" applyProtection="1">
      <alignment horizontal="center" vertical="top"/>
    </xf>
    <xf numFmtId="49" fontId="20" fillId="0" borderId="12" xfId="3" applyNumberFormat="1" applyFont="1" applyBorder="1" applyAlignment="1" applyProtection="1">
      <alignment horizontal="left" vertical="top" wrapText="1"/>
    </xf>
    <xf numFmtId="49" fontId="12" fillId="0" borderId="12" xfId="3" applyNumberFormat="1" applyFont="1" applyBorder="1" applyAlignment="1" applyProtection="1">
      <alignment horizontal="left" vertical="top"/>
    </xf>
    <xf numFmtId="49" fontId="31" fillId="0" borderId="12" xfId="3" applyNumberFormat="1" applyFont="1" applyBorder="1" applyAlignment="1" applyProtection="1">
      <alignment vertical="top" wrapText="1"/>
    </xf>
    <xf numFmtId="49" fontId="14" fillId="0" borderId="12" xfId="3" applyNumberFormat="1" applyFont="1" applyBorder="1" applyAlignment="1" applyProtection="1">
      <alignment horizontal="left" vertical="top" wrapText="1"/>
    </xf>
    <xf numFmtId="4" fontId="30" fillId="0" borderId="12" xfId="3" applyNumberFormat="1" applyFont="1" applyBorder="1" applyAlignment="1" applyProtection="1">
      <alignment horizontal="right" wrapText="1"/>
    </xf>
    <xf numFmtId="4" fontId="12" fillId="0" borderId="13" xfId="3" applyNumberFormat="1" applyFont="1" applyBorder="1" applyAlignment="1" applyProtection="1">
      <alignment horizontal="right" vertical="top"/>
    </xf>
    <xf numFmtId="49" fontId="12" fillId="0" borderId="12" xfId="3" applyNumberFormat="1" applyFont="1" applyBorder="1" applyAlignment="1" applyProtection="1">
      <alignment horizontal="center" vertical="top" wrapText="1"/>
    </xf>
    <xf numFmtId="49" fontId="13" fillId="0" borderId="12" xfId="3" applyNumberFormat="1" applyFont="1" applyBorder="1" applyAlignment="1" applyProtection="1">
      <alignment horizontal="left" vertical="top" wrapText="1"/>
    </xf>
    <xf numFmtId="4" fontId="19" fillId="0" borderId="12" xfId="3" applyNumberFormat="1" applyFont="1" applyBorder="1" applyAlignment="1" applyProtection="1">
      <alignment horizontal="right" vertical="center"/>
    </xf>
    <xf numFmtId="49" fontId="13" fillId="0" borderId="12" xfId="3" applyNumberFormat="1" applyFont="1" applyBorder="1" applyAlignment="1" applyProtection="1">
      <alignment horizontal="left" vertical="top"/>
    </xf>
    <xf numFmtId="4" fontId="13" fillId="0" borderId="13" xfId="3" applyNumberFormat="1" applyFont="1" applyBorder="1" applyAlignment="1" applyProtection="1">
      <alignment horizontal="right" vertical="top"/>
    </xf>
    <xf numFmtId="49" fontId="12" fillId="0" borderId="0" xfId="3" applyNumberFormat="1" applyFont="1" applyBorder="1" applyAlignment="1" applyProtection="1">
      <alignment horizontal="left" vertical="top"/>
    </xf>
    <xf numFmtId="49" fontId="13" fillId="0" borderId="13" xfId="3" applyNumberFormat="1" applyFont="1" applyBorder="1" applyAlignment="1" applyProtection="1">
      <alignment horizontal="left" vertical="top"/>
    </xf>
    <xf numFmtId="0" fontId="14" fillId="0" borderId="0" xfId="3" applyFont="1" applyBorder="1" applyAlignment="1" applyProtection="1">
      <alignment horizontal="left" vertical="top" wrapText="1"/>
    </xf>
    <xf numFmtId="49" fontId="26" fillId="0" borderId="0" xfId="3" applyNumberFormat="1" applyFont="1" applyBorder="1" applyAlignment="1" applyProtection="1">
      <alignment horizontal="left" vertical="top" wrapText="1"/>
    </xf>
    <xf numFmtId="0" fontId="1" fillId="0" borderId="12" xfId="3" applyFont="1" applyBorder="1" applyAlignment="1" applyProtection="1">
      <alignment horizontal="right"/>
    </xf>
    <xf numFmtId="4" fontId="13" fillId="0" borderId="13" xfId="3" applyNumberFormat="1" applyFont="1" applyBorder="1" applyAlignment="1" applyProtection="1">
      <alignment horizontal="left" vertical="center"/>
    </xf>
    <xf numFmtId="49" fontId="12" fillId="0" borderId="13" xfId="3" applyNumberFormat="1" applyFont="1" applyBorder="1" applyAlignment="1" applyProtection="1">
      <alignment horizontal="right" vertical="top"/>
    </xf>
    <xf numFmtId="0" fontId="0" fillId="0" borderId="12" xfId="4" applyFont="1" applyBorder="1" applyProtection="1"/>
    <xf numFmtId="0" fontId="20" fillId="0" borderId="13" xfId="4" applyFont="1" applyBorder="1" applyAlignment="1" applyProtection="1">
      <alignment horizontal="left"/>
    </xf>
    <xf numFmtId="0" fontId="28" fillId="0" borderId="13" xfId="4" applyFont="1" applyBorder="1" applyProtection="1"/>
    <xf numFmtId="0" fontId="0" fillId="0" borderId="13" xfId="4" applyFont="1" applyBorder="1" applyProtection="1"/>
    <xf numFmtId="0" fontId="19" fillId="0" borderId="13" xfId="4" applyFont="1" applyBorder="1" applyAlignment="1" applyProtection="1">
      <alignment horizontal="right"/>
    </xf>
    <xf numFmtId="0" fontId="28" fillId="0" borderId="13" xfId="4" applyFont="1" applyBorder="1" applyAlignment="1" applyProtection="1">
      <alignment horizontal="left"/>
    </xf>
    <xf numFmtId="167" fontId="28" fillId="0" borderId="13" xfId="4" applyNumberFormat="1" applyFont="1" applyBorder="1" applyAlignment="1" applyProtection="1">
      <alignment horizontal="right"/>
    </xf>
    <xf numFmtId="167" fontId="19" fillId="0" borderId="13" xfId="4" applyNumberFormat="1" applyFont="1" applyBorder="1" applyAlignment="1" applyProtection="1">
      <alignment horizontal="right"/>
    </xf>
    <xf numFmtId="0" fontId="0" fillId="0" borderId="13" xfId="4" applyFont="1" applyBorder="1" applyAlignment="1" applyProtection="1">
      <alignment horizontal="left"/>
    </xf>
    <xf numFmtId="0" fontId="0" fillId="0" borderId="13" xfId="4" applyFont="1" applyBorder="1" applyAlignment="1" applyProtection="1">
      <alignment horizontal="right"/>
    </xf>
    <xf numFmtId="0" fontId="28" fillId="0" borderId="13" xfId="4" applyFont="1" applyBorder="1" applyAlignment="1" applyProtection="1">
      <alignment wrapText="1"/>
    </xf>
    <xf numFmtId="49" fontId="0" fillId="0" borderId="13" xfId="4" applyNumberFormat="1" applyFont="1" applyBorder="1" applyProtection="1"/>
    <xf numFmtId="0" fontId="0" fillId="0" borderId="18" xfId="4" applyFont="1" applyBorder="1" applyProtection="1"/>
    <xf numFmtId="0" fontId="0" fillId="0" borderId="14" xfId="4" applyFont="1" applyBorder="1" applyProtection="1"/>
    <xf numFmtId="0" fontId="0" fillId="0" borderId="14" xfId="4" applyFont="1" applyBorder="1" applyAlignment="1" applyProtection="1">
      <alignment horizontal="left"/>
    </xf>
    <xf numFmtId="0" fontId="0" fillId="0" borderId="0" xfId="0" applyFill="1" applyAlignment="1" applyProtection="1">
      <alignment horizontal="center" wrapText="1"/>
    </xf>
    <xf numFmtId="0" fontId="20" fillId="0" borderId="0" xfId="3" applyFont="1" applyProtection="1"/>
    <xf numFmtId="0" fontId="20" fillId="0" borderId="0" xfId="3" applyFont="1" applyAlignment="1" applyProtection="1">
      <alignment horizontal="left"/>
    </xf>
    <xf numFmtId="0" fontId="18" fillId="0" borderId="20" xfId="4" applyFont="1" applyBorder="1" applyAlignment="1" applyProtection="1">
      <alignment horizontal="left"/>
    </xf>
    <xf numFmtId="0" fontId="20" fillId="0" borderId="1" xfId="4" applyFont="1" applyBorder="1" applyAlignment="1" applyProtection="1">
      <alignment horizontal="center"/>
    </xf>
    <xf numFmtId="0" fontId="20" fillId="0" borderId="19" xfId="4" applyFont="1" applyBorder="1" applyAlignment="1" applyProtection="1">
      <alignment horizontal="center"/>
    </xf>
    <xf numFmtId="0" fontId="20" fillId="0" borderId="16" xfId="4" applyFont="1" applyBorder="1" applyProtection="1"/>
    <xf numFmtId="0" fontId="20" fillId="0" borderId="15" xfId="4" applyFont="1" applyBorder="1" applyAlignment="1" applyProtection="1">
      <alignment horizontal="center"/>
    </xf>
    <xf numFmtId="0" fontId="20" fillId="0" borderId="17" xfId="4" applyFont="1" applyBorder="1" applyProtection="1"/>
    <xf numFmtId="0" fontId="20" fillId="0" borderId="1" xfId="4" applyFont="1" applyBorder="1" applyProtection="1"/>
    <xf numFmtId="0" fontId="20" fillId="0" borderId="1" xfId="4" applyFont="1" applyBorder="1" applyAlignment="1" applyProtection="1">
      <alignment horizontal="center"/>
    </xf>
    <xf numFmtId="0" fontId="18" fillId="0" borderId="7" xfId="4" applyFont="1" applyBorder="1" applyAlignment="1" applyProtection="1">
      <alignment horizontal="center"/>
    </xf>
    <xf numFmtId="0" fontId="20" fillId="0" borderId="18" xfId="4" applyFont="1" applyBorder="1" applyAlignment="1" applyProtection="1">
      <alignment horizontal="center"/>
    </xf>
    <xf numFmtId="0" fontId="20" fillId="0" borderId="10" xfId="4" applyFont="1" applyBorder="1" applyAlignment="1" applyProtection="1">
      <alignment horizontal="left"/>
    </xf>
    <xf numFmtId="0" fontId="20" fillId="0" borderId="10" xfId="4" applyFont="1" applyBorder="1" applyAlignment="1" applyProtection="1">
      <alignment horizontal="center"/>
    </xf>
    <xf numFmtId="0" fontId="20" fillId="0" borderId="18" xfId="4" applyFont="1" applyBorder="1" applyProtection="1"/>
    <xf numFmtId="0" fontId="18" fillId="0" borderId="14" xfId="4" applyFont="1" applyBorder="1" applyProtection="1"/>
    <xf numFmtId="49" fontId="12" fillId="0" borderId="1" xfId="3" applyNumberFormat="1" applyFont="1" applyBorder="1" applyAlignment="1" applyProtection="1">
      <alignment horizontal="left" vertical="top" wrapText="1"/>
    </xf>
    <xf numFmtId="49" fontId="20" fillId="0" borderId="1" xfId="3" applyNumberFormat="1" applyFont="1" applyBorder="1" applyAlignment="1" applyProtection="1">
      <alignment horizontal="left" vertical="top" wrapText="1"/>
    </xf>
    <xf numFmtId="49" fontId="12" fillId="0" borderId="1" xfId="3" applyNumberFormat="1" applyFont="1" applyBorder="1" applyAlignment="1" applyProtection="1">
      <alignment horizontal="left" vertical="top"/>
    </xf>
    <xf numFmtId="49" fontId="13" fillId="0" borderId="1" xfId="3" applyNumberFormat="1" applyFont="1" applyBorder="1" applyAlignment="1" applyProtection="1">
      <alignment horizontal="left" vertical="top" wrapText="1"/>
    </xf>
    <xf numFmtId="4" fontId="19" fillId="0" borderId="1" xfId="3" applyNumberFormat="1" applyFont="1" applyBorder="1" applyAlignment="1" applyProtection="1">
      <alignment horizontal="center" vertical="center"/>
    </xf>
    <xf numFmtId="49" fontId="12" fillId="0" borderId="1" xfId="3" applyNumberFormat="1" applyFont="1" applyBorder="1" applyAlignment="1" applyProtection="1">
      <alignment horizontal="center" vertical="top"/>
    </xf>
    <xf numFmtId="4" fontId="12" fillId="0" borderId="13" xfId="3" applyNumberFormat="1" applyFont="1" applyBorder="1" applyAlignment="1" applyProtection="1">
      <alignment horizontal="center" vertical="top"/>
    </xf>
    <xf numFmtId="4" fontId="19" fillId="0" borderId="12" xfId="3" applyNumberFormat="1" applyFont="1" applyBorder="1" applyAlignment="1" applyProtection="1">
      <alignment horizontal="center" vertical="center"/>
    </xf>
    <xf numFmtId="49" fontId="12" fillId="0" borderId="12" xfId="3" applyNumberFormat="1" applyFont="1" applyBorder="1" applyAlignment="1" applyProtection="1">
      <alignment horizontal="center" vertical="top"/>
    </xf>
    <xf numFmtId="167" fontId="28" fillId="0" borderId="13" xfId="4" applyNumberFormat="1" applyFont="1" applyBorder="1" applyProtection="1"/>
    <xf numFmtId="167" fontId="0" fillId="0" borderId="13" xfId="4" applyNumberFormat="1" applyFont="1" applyBorder="1" applyProtection="1"/>
    <xf numFmtId="49" fontId="14" fillId="0" borderId="12" xfId="3" quotePrefix="1" applyNumberFormat="1" applyFont="1" applyBorder="1" applyAlignment="1" applyProtection="1">
      <alignment horizontal="left" vertical="top"/>
    </xf>
    <xf numFmtId="49" fontId="31" fillId="0" borderId="12" xfId="3" applyNumberFormat="1" applyFont="1" applyBorder="1" applyAlignment="1" applyProtection="1">
      <alignment horizontal="left" vertical="top"/>
    </xf>
    <xf numFmtId="0" fontId="14" fillId="0" borderId="12" xfId="3" applyFont="1" applyBorder="1" applyAlignment="1" applyProtection="1">
      <alignment vertical="top" wrapText="1"/>
    </xf>
    <xf numFmtId="0" fontId="30" fillId="0" borderId="12" xfId="3" applyFont="1" applyBorder="1" applyAlignment="1" applyProtection="1">
      <alignment wrapText="1"/>
    </xf>
    <xf numFmtId="0" fontId="14" fillId="0" borderId="12" xfId="3" applyFont="1" applyBorder="1" applyAlignment="1" applyProtection="1">
      <alignment horizontal="center" vertical="top"/>
    </xf>
    <xf numFmtId="49" fontId="13" fillId="0" borderId="12" xfId="3" applyNumberFormat="1" applyFont="1" applyBorder="1" applyAlignment="1" applyProtection="1">
      <alignment horizontal="center" vertical="top"/>
    </xf>
    <xf numFmtId="4" fontId="13" fillId="0" borderId="13" xfId="3" applyNumberFormat="1" applyFont="1" applyBorder="1" applyAlignment="1" applyProtection="1">
      <alignment horizontal="center" vertical="top"/>
    </xf>
    <xf numFmtId="4" fontId="19" fillId="0" borderId="18" xfId="3" applyNumberFormat="1" applyFont="1" applyBorder="1" applyAlignment="1" applyProtection="1">
      <alignment horizontal="center" vertical="center"/>
    </xf>
    <xf numFmtId="4" fontId="30" fillId="0" borderId="12" xfId="3" applyNumberFormat="1" applyFont="1" applyBorder="1" applyAlignment="1" applyProtection="1">
      <alignment vertical="top" wrapText="1"/>
    </xf>
    <xf numFmtId="49" fontId="13" fillId="0" borderId="12" xfId="3" applyNumberFormat="1" applyFont="1" applyBorder="1" applyAlignment="1" applyProtection="1">
      <alignment horizontal="right" vertical="top" wrapText="1"/>
    </xf>
    <xf numFmtId="0" fontId="30" fillId="0" borderId="12" xfId="3" applyFont="1" applyBorder="1" applyAlignment="1" applyProtection="1">
      <alignment vertical="top" wrapText="1"/>
    </xf>
    <xf numFmtId="0" fontId="20" fillId="0" borderId="12" xfId="3" applyFont="1" applyBorder="1" applyAlignment="1" applyProtection="1">
      <alignment horizontal="center" vertical="top"/>
    </xf>
    <xf numFmtId="4" fontId="20" fillId="0" borderId="13" xfId="3" applyNumberFormat="1" applyFont="1" applyBorder="1" applyAlignment="1" applyProtection="1">
      <alignment horizontal="center" vertical="top"/>
    </xf>
    <xf numFmtId="49" fontId="20" fillId="0" borderId="12" xfId="3" quotePrefix="1" applyNumberFormat="1" applyFont="1" applyBorder="1" applyAlignment="1" applyProtection="1">
      <alignment horizontal="left" vertical="top"/>
    </xf>
    <xf numFmtId="0" fontId="16" fillId="0" borderId="12" xfId="3" applyFont="1" applyBorder="1" applyAlignment="1" applyProtection="1">
      <alignment vertical="top" wrapText="1"/>
    </xf>
    <xf numFmtId="0" fontId="19" fillId="0" borderId="12" xfId="3" applyFont="1" applyBorder="1" applyAlignment="1" applyProtection="1">
      <alignment wrapText="1"/>
    </xf>
    <xf numFmtId="0" fontId="16" fillId="0" borderId="12" xfId="3" applyFont="1" applyBorder="1" applyAlignment="1" applyProtection="1">
      <alignment horizontal="center" vertical="top"/>
    </xf>
    <xf numFmtId="49" fontId="16" fillId="0" borderId="12" xfId="3" applyNumberFormat="1" applyFont="1" applyBorder="1" applyAlignment="1" applyProtection="1">
      <alignment horizontal="left" vertical="top"/>
    </xf>
    <xf numFmtId="0" fontId="19" fillId="0" borderId="12" xfId="3" applyFont="1" applyBorder="1" applyAlignment="1" applyProtection="1">
      <alignment vertical="top" wrapText="1"/>
    </xf>
    <xf numFmtId="0" fontId="20" fillId="4" borderId="0" xfId="3" applyFont="1" applyFill="1" applyProtection="1"/>
    <xf numFmtId="4" fontId="19" fillId="0" borderId="21" xfId="3" applyNumberFormat="1" applyFont="1" applyBorder="1" applyAlignment="1" applyProtection="1">
      <alignment horizontal="center" vertical="center"/>
    </xf>
    <xf numFmtId="0" fontId="20" fillId="0" borderId="12" xfId="4" applyFont="1" applyBorder="1" applyProtection="1"/>
    <xf numFmtId="0" fontId="18" fillId="0" borderId="12" xfId="4" applyFont="1" applyBorder="1" applyProtection="1"/>
    <xf numFmtId="0" fontId="29" fillId="0" borderId="12" xfId="3" applyFont="1" applyBorder="1" applyAlignment="1" applyProtection="1">
      <alignment wrapText="1"/>
    </xf>
    <xf numFmtId="0" fontId="12" fillId="0" borderId="12" xfId="3" applyFont="1" applyBorder="1" applyAlignment="1" applyProtection="1">
      <alignment horizontal="left" vertical="top" wrapText="1"/>
    </xf>
    <xf numFmtId="49" fontId="27" fillId="0" borderId="12" xfId="3" applyNumberFormat="1" applyFont="1" applyBorder="1" applyAlignment="1" applyProtection="1">
      <alignment horizontal="left" vertical="top" wrapText="1"/>
    </xf>
    <xf numFmtId="49" fontId="14" fillId="0" borderId="12" xfId="3" applyNumberFormat="1" applyFont="1" applyBorder="1" applyAlignment="1" applyProtection="1">
      <alignment horizontal="left" vertical="top"/>
    </xf>
    <xf numFmtId="0" fontId="13" fillId="0" borderId="12" xfId="3" applyFont="1" applyBorder="1" applyProtection="1"/>
    <xf numFmtId="4" fontId="19" fillId="0" borderId="12" xfId="3" applyNumberFormat="1" applyFont="1" applyBorder="1" applyAlignment="1" applyProtection="1">
      <alignment horizontal="center" vertical="top"/>
    </xf>
    <xf numFmtId="0" fontId="20" fillId="0" borderId="0" xfId="3" applyFont="1" applyAlignment="1" applyProtection="1">
      <alignment vertical="top"/>
    </xf>
    <xf numFmtId="0" fontId="12" fillId="0" borderId="12" xfId="3" applyFont="1" applyBorder="1" applyAlignment="1" applyProtection="1">
      <alignment vertical="center" wrapText="1"/>
    </xf>
    <xf numFmtId="0" fontId="27" fillId="0" borderId="12" xfId="3" applyFont="1" applyBorder="1" applyAlignment="1" applyProtection="1">
      <alignment vertical="top" wrapText="1"/>
    </xf>
    <xf numFmtId="0" fontId="31" fillId="0" borderId="12" xfId="3" applyFont="1" applyBorder="1" applyAlignment="1" applyProtection="1">
      <alignment vertical="top" wrapText="1"/>
    </xf>
    <xf numFmtId="0" fontId="15" fillId="0" borderId="12" xfId="3" applyFont="1" applyBorder="1" applyAlignment="1" applyProtection="1">
      <alignment vertical="top" wrapText="1"/>
    </xf>
    <xf numFmtId="0" fontId="16" fillId="0" borderId="12" xfId="3" applyFont="1" applyBorder="1" applyAlignment="1" applyProtection="1">
      <alignment horizontal="center" vertical="top" wrapText="1"/>
    </xf>
    <xf numFmtId="0" fontId="12" fillId="0" borderId="12" xfId="3" applyFont="1" applyBorder="1" applyAlignment="1" applyProtection="1">
      <alignment vertical="top" wrapText="1"/>
    </xf>
    <xf numFmtId="0" fontId="14" fillId="0" borderId="12" xfId="3" applyFont="1" applyBorder="1" applyAlignment="1" applyProtection="1">
      <alignment horizontal="left" vertical="top" wrapText="1"/>
    </xf>
    <xf numFmtId="0" fontId="20" fillId="0" borderId="12" xfId="3" applyFont="1" applyBorder="1" applyAlignment="1" applyProtection="1">
      <alignment vertical="top"/>
    </xf>
    <xf numFmtId="49" fontId="12" fillId="0" borderId="12" xfId="3" applyNumberFormat="1" applyFont="1" applyBorder="1" applyAlignment="1" applyProtection="1">
      <alignment horizontal="left" vertical="center"/>
    </xf>
    <xf numFmtId="49" fontId="20" fillId="0" borderId="12" xfId="3" applyNumberFormat="1" applyFont="1" applyBorder="1" applyAlignment="1" applyProtection="1">
      <alignment horizontal="left" vertical="center"/>
    </xf>
    <xf numFmtId="49" fontId="12" fillId="0" borderId="12" xfId="3" applyNumberFormat="1" applyFont="1" applyBorder="1" applyAlignment="1" applyProtection="1">
      <alignment horizontal="left" vertical="center" wrapText="1"/>
    </xf>
    <xf numFmtId="49" fontId="13" fillId="0" borderId="12" xfId="3" applyNumberFormat="1" applyFont="1" applyBorder="1" applyAlignment="1" applyProtection="1">
      <alignment horizontal="left" vertical="center" wrapText="1"/>
    </xf>
    <xf numFmtId="49" fontId="13" fillId="0" borderId="12" xfId="3" applyNumberFormat="1" applyFont="1" applyBorder="1" applyAlignment="1" applyProtection="1">
      <alignment horizontal="left" vertical="center"/>
    </xf>
    <xf numFmtId="0" fontId="20" fillId="0" borderId="12" xfId="3" applyFont="1" applyBorder="1" applyProtection="1"/>
    <xf numFmtId="4" fontId="13" fillId="0" borderId="12" xfId="3" applyNumberFormat="1" applyFont="1" applyBorder="1" applyAlignment="1" applyProtection="1">
      <alignment horizontal="center" vertical="top"/>
    </xf>
    <xf numFmtId="49" fontId="12" fillId="0" borderId="12" xfId="3" quotePrefix="1" applyNumberFormat="1" applyFont="1" applyBorder="1" applyAlignment="1" applyProtection="1">
      <alignment horizontal="left" vertical="top"/>
    </xf>
    <xf numFmtId="49" fontId="26" fillId="0" borderId="12" xfId="3" applyNumberFormat="1" applyFont="1" applyBorder="1" applyAlignment="1" applyProtection="1">
      <alignment horizontal="center" vertical="top"/>
    </xf>
    <xf numFmtId="49" fontId="26" fillId="0" borderId="12" xfId="3" applyNumberFormat="1" applyFont="1" applyBorder="1" applyAlignment="1" applyProtection="1">
      <alignment horizontal="left" vertical="top" wrapText="1"/>
    </xf>
    <xf numFmtId="49" fontId="12" fillId="0" borderId="12" xfId="3" applyNumberFormat="1" applyFont="1" applyBorder="1" applyAlignment="1" applyProtection="1">
      <alignment vertical="top"/>
    </xf>
    <xf numFmtId="0" fontId="20" fillId="0" borderId="12" xfId="3" applyFont="1" applyBorder="1" applyAlignment="1" applyProtection="1">
      <alignment horizontal="left" vertical="top"/>
    </xf>
    <xf numFmtId="49" fontId="13" fillId="0" borderId="0" xfId="3" applyNumberFormat="1" applyFont="1" applyAlignment="1" applyProtection="1">
      <alignment horizontal="left" vertical="top" wrapText="1"/>
    </xf>
    <xf numFmtId="49" fontId="11" fillId="0" borderId="12" xfId="3" applyNumberFormat="1" applyFont="1" applyBorder="1" applyAlignment="1" applyProtection="1">
      <alignment vertical="top"/>
    </xf>
    <xf numFmtId="0" fontId="11" fillId="0" borderId="12" xfId="3" applyFont="1" applyBorder="1" applyAlignment="1" applyProtection="1">
      <alignment vertical="top" wrapText="1"/>
    </xf>
    <xf numFmtId="2" fontId="12" fillId="0" borderId="0" xfId="3" applyNumberFormat="1" applyFont="1" applyAlignment="1" applyProtection="1">
      <alignment horizontal="left" vertical="top"/>
    </xf>
    <xf numFmtId="0" fontId="15" fillId="0" borderId="12" xfId="3" applyFont="1" applyBorder="1" applyAlignment="1" applyProtection="1">
      <alignment horizontal="center" vertical="top"/>
    </xf>
    <xf numFmtId="4" fontId="19" fillId="0" borderId="18" xfId="3" applyNumberFormat="1" applyFont="1" applyBorder="1" applyAlignment="1" applyProtection="1">
      <alignment horizontal="center" vertical="top"/>
    </xf>
    <xf numFmtId="49" fontId="7" fillId="0" borderId="18" xfId="3" applyNumberFormat="1" applyFont="1" applyBorder="1" applyAlignment="1" applyProtection="1">
      <alignment horizontal="center" vertical="top" wrapText="1"/>
    </xf>
    <xf numFmtId="49" fontId="10" fillId="0" borderId="18" xfId="3" applyNumberFormat="1" applyFont="1" applyBorder="1" applyAlignment="1" applyProtection="1">
      <alignment horizontal="left" vertical="top" wrapText="1"/>
    </xf>
    <xf numFmtId="49" fontId="7" fillId="0" borderId="18" xfId="3" applyNumberFormat="1" applyFont="1" applyBorder="1" applyAlignment="1" applyProtection="1">
      <alignment horizontal="left" vertical="top"/>
    </xf>
    <xf numFmtId="49" fontId="9" fillId="0" borderId="18" xfId="3" applyNumberFormat="1" applyFont="1" applyBorder="1" applyAlignment="1" applyProtection="1">
      <alignment horizontal="left" vertical="top"/>
    </xf>
    <xf numFmtId="49" fontId="32" fillId="0" borderId="18" xfId="3" applyNumberFormat="1" applyFont="1" applyBorder="1" applyAlignment="1" applyProtection="1">
      <alignment horizontal="left" vertical="top"/>
    </xf>
    <xf numFmtId="4" fontId="1" fillId="0" borderId="14" xfId="3" applyNumberFormat="1" applyFont="1" applyBorder="1" applyAlignment="1" applyProtection="1">
      <alignment horizontal="center" vertical="top"/>
    </xf>
    <xf numFmtId="0" fontId="1" fillId="0" borderId="0" xfId="3" applyFont="1" applyProtection="1"/>
    <xf numFmtId="49" fontId="7" fillId="0" borderId="0" xfId="3" applyNumberFormat="1" applyFont="1" applyBorder="1" applyAlignment="1" applyProtection="1">
      <alignment horizontal="center" vertical="top" wrapText="1"/>
    </xf>
    <xf numFmtId="49" fontId="10" fillId="0" borderId="0" xfId="3" applyNumberFormat="1" applyFont="1" applyBorder="1" applyAlignment="1" applyProtection="1">
      <alignment horizontal="left" vertical="top" wrapText="1"/>
    </xf>
    <xf numFmtId="49" fontId="7" fillId="0" borderId="0" xfId="3" applyNumberFormat="1" applyFont="1" applyBorder="1" applyAlignment="1" applyProtection="1">
      <alignment horizontal="left" vertical="top"/>
    </xf>
    <xf numFmtId="49" fontId="9" fillId="0" borderId="0" xfId="3" applyNumberFormat="1" applyFont="1" applyBorder="1" applyAlignment="1" applyProtection="1">
      <alignment horizontal="left" vertical="top"/>
    </xf>
    <xf numFmtId="49" fontId="32" fillId="0" borderId="0" xfId="3" applyNumberFormat="1" applyFont="1" applyBorder="1" applyAlignment="1" applyProtection="1">
      <alignment horizontal="left" vertical="top"/>
    </xf>
    <xf numFmtId="4" fontId="1" fillId="0" borderId="0" xfId="3" applyNumberFormat="1" applyFont="1" applyBorder="1" applyAlignment="1" applyProtection="1">
      <alignment horizontal="center" vertical="top"/>
    </xf>
    <xf numFmtId="0" fontId="0" fillId="0" borderId="0" xfId="0" applyFill="1" applyAlignment="1" applyProtection="1">
      <alignment horizontal="center"/>
    </xf>
    <xf numFmtId="49" fontId="7" fillId="0" borderId="0" xfId="3" applyNumberFormat="1" applyFont="1" applyAlignment="1" applyProtection="1">
      <alignment horizontal="center" vertical="top" wrapText="1"/>
    </xf>
    <xf numFmtId="4" fontId="1" fillId="0" borderId="0" xfId="3" applyNumberFormat="1" applyFont="1" applyProtection="1"/>
    <xf numFmtId="0" fontId="1" fillId="0" borderId="0" xfId="3" applyFont="1" applyAlignment="1" applyProtection="1">
      <alignment horizontal="center" vertical="top"/>
    </xf>
    <xf numFmtId="4" fontId="1" fillId="0" borderId="0" xfId="3" applyNumberFormat="1" applyFont="1" applyAlignment="1" applyProtection="1">
      <alignment horizontal="center" vertical="top"/>
    </xf>
  </cellXfs>
  <cellStyles count="8">
    <cellStyle name="Background_Yellow" xfId="7"/>
    <cellStyle name="Font_Ariel_Normal_Bold_BG_Gray" xfId="1"/>
    <cellStyle name="Font_Ariel_Small" xfId="5"/>
    <cellStyle name="Font_Ariel_Small_Bold" xfId="6"/>
    <cellStyle name="Font_Ariel_Small_Bold_BG_Gray" xfId="2"/>
    <cellStyle name="Normal" xfId="4"/>
    <cellStyle name="Normálna" xfId="0" builtinId="0"/>
    <cellStyle name="Normálna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5"/>
  <sheetViews>
    <sheetView showGridLines="0" view="pageLayout" zoomScale="85" zoomScaleNormal="100" zoomScaleSheetLayoutView="85" zoomScalePageLayoutView="85" workbookViewId="0">
      <selection activeCell="F13" sqref="F13:G13"/>
    </sheetView>
  </sheetViews>
  <sheetFormatPr defaultRowHeight="13.2"/>
  <cols>
    <col min="1" max="1" width="2.109375" style="2" customWidth="1"/>
    <col min="2" max="2" width="14.5546875" style="2" customWidth="1"/>
    <col min="3" max="3" width="16" style="2" customWidth="1"/>
    <col min="4" max="4" width="40.109375" style="22" customWidth="1"/>
    <col min="5" max="7" width="17.44140625" style="2" customWidth="1"/>
    <col min="8" max="255" width="8.88671875" style="2"/>
    <col min="256" max="256" width="2.109375" style="2" customWidth="1"/>
    <col min="257" max="257" width="17.5546875" style="2" customWidth="1"/>
    <col min="258" max="258" width="19" style="2" customWidth="1"/>
    <col min="259" max="259" width="55.5546875" style="2" customWidth="1"/>
    <col min="260" max="260" width="17.44140625" style="2" customWidth="1"/>
    <col min="261" max="261" width="17.109375" style="2" customWidth="1"/>
    <col min="262" max="262" width="17.5546875" style="2" customWidth="1"/>
    <col min="263" max="511" width="8.88671875" style="2"/>
    <col min="512" max="512" width="2.109375" style="2" customWidth="1"/>
    <col min="513" max="513" width="17.5546875" style="2" customWidth="1"/>
    <col min="514" max="514" width="19" style="2" customWidth="1"/>
    <col min="515" max="515" width="55.5546875" style="2" customWidth="1"/>
    <col min="516" max="516" width="17.44140625" style="2" customWidth="1"/>
    <col min="517" max="517" width="17.109375" style="2" customWidth="1"/>
    <col min="518" max="518" width="17.5546875" style="2" customWidth="1"/>
    <col min="519" max="767" width="8.88671875" style="2"/>
    <col min="768" max="768" width="2.109375" style="2" customWidth="1"/>
    <col min="769" max="769" width="17.5546875" style="2" customWidth="1"/>
    <col min="770" max="770" width="19" style="2" customWidth="1"/>
    <col min="771" max="771" width="55.5546875" style="2" customWidth="1"/>
    <col min="772" max="772" width="17.44140625" style="2" customWidth="1"/>
    <col min="773" max="773" width="17.109375" style="2" customWidth="1"/>
    <col min="774" max="774" width="17.5546875" style="2" customWidth="1"/>
    <col min="775" max="1023" width="8.88671875" style="2"/>
    <col min="1024" max="1024" width="2.109375" style="2" customWidth="1"/>
    <col min="1025" max="1025" width="17.5546875" style="2" customWidth="1"/>
    <col min="1026" max="1026" width="19" style="2" customWidth="1"/>
    <col min="1027" max="1027" width="55.5546875" style="2" customWidth="1"/>
    <col min="1028" max="1028" width="17.44140625" style="2" customWidth="1"/>
    <col min="1029" max="1029" width="17.109375" style="2" customWidth="1"/>
    <col min="1030" max="1030" width="17.5546875" style="2" customWidth="1"/>
    <col min="1031" max="1279" width="8.88671875" style="2"/>
    <col min="1280" max="1280" width="2.109375" style="2" customWidth="1"/>
    <col min="1281" max="1281" width="17.5546875" style="2" customWidth="1"/>
    <col min="1282" max="1282" width="19" style="2" customWidth="1"/>
    <col min="1283" max="1283" width="55.5546875" style="2" customWidth="1"/>
    <col min="1284" max="1284" width="17.44140625" style="2" customWidth="1"/>
    <col min="1285" max="1285" width="17.109375" style="2" customWidth="1"/>
    <col min="1286" max="1286" width="17.5546875" style="2" customWidth="1"/>
    <col min="1287" max="1535" width="8.88671875" style="2"/>
    <col min="1536" max="1536" width="2.109375" style="2" customWidth="1"/>
    <col min="1537" max="1537" width="17.5546875" style="2" customWidth="1"/>
    <col min="1538" max="1538" width="19" style="2" customWidth="1"/>
    <col min="1539" max="1539" width="55.5546875" style="2" customWidth="1"/>
    <col min="1540" max="1540" width="17.44140625" style="2" customWidth="1"/>
    <col min="1541" max="1541" width="17.109375" style="2" customWidth="1"/>
    <col min="1542" max="1542" width="17.5546875" style="2" customWidth="1"/>
    <col min="1543" max="1791" width="8.88671875" style="2"/>
    <col min="1792" max="1792" width="2.109375" style="2" customWidth="1"/>
    <col min="1793" max="1793" width="17.5546875" style="2" customWidth="1"/>
    <col min="1794" max="1794" width="19" style="2" customWidth="1"/>
    <col min="1795" max="1795" width="55.5546875" style="2" customWidth="1"/>
    <col min="1796" max="1796" width="17.44140625" style="2" customWidth="1"/>
    <col min="1797" max="1797" width="17.109375" style="2" customWidth="1"/>
    <col min="1798" max="1798" width="17.5546875" style="2" customWidth="1"/>
    <col min="1799" max="2047" width="8.88671875" style="2"/>
    <col min="2048" max="2048" width="2.109375" style="2" customWidth="1"/>
    <col min="2049" max="2049" width="17.5546875" style="2" customWidth="1"/>
    <col min="2050" max="2050" width="19" style="2" customWidth="1"/>
    <col min="2051" max="2051" width="55.5546875" style="2" customWidth="1"/>
    <col min="2052" max="2052" width="17.44140625" style="2" customWidth="1"/>
    <col min="2053" max="2053" width="17.109375" style="2" customWidth="1"/>
    <col min="2054" max="2054" width="17.5546875" style="2" customWidth="1"/>
    <col min="2055" max="2303" width="8.88671875" style="2"/>
    <col min="2304" max="2304" width="2.109375" style="2" customWidth="1"/>
    <col min="2305" max="2305" width="17.5546875" style="2" customWidth="1"/>
    <col min="2306" max="2306" width="19" style="2" customWidth="1"/>
    <col min="2307" max="2307" width="55.5546875" style="2" customWidth="1"/>
    <col min="2308" max="2308" width="17.44140625" style="2" customWidth="1"/>
    <col min="2309" max="2309" width="17.109375" style="2" customWidth="1"/>
    <col min="2310" max="2310" width="17.5546875" style="2" customWidth="1"/>
    <col min="2311" max="2559" width="8.88671875" style="2"/>
    <col min="2560" max="2560" width="2.109375" style="2" customWidth="1"/>
    <col min="2561" max="2561" width="17.5546875" style="2" customWidth="1"/>
    <col min="2562" max="2562" width="19" style="2" customWidth="1"/>
    <col min="2563" max="2563" width="55.5546875" style="2" customWidth="1"/>
    <col min="2564" max="2564" width="17.44140625" style="2" customWidth="1"/>
    <col min="2565" max="2565" width="17.109375" style="2" customWidth="1"/>
    <col min="2566" max="2566" width="17.5546875" style="2" customWidth="1"/>
    <col min="2567" max="2815" width="8.88671875" style="2"/>
    <col min="2816" max="2816" width="2.109375" style="2" customWidth="1"/>
    <col min="2817" max="2817" width="17.5546875" style="2" customWidth="1"/>
    <col min="2818" max="2818" width="19" style="2" customWidth="1"/>
    <col min="2819" max="2819" width="55.5546875" style="2" customWidth="1"/>
    <col min="2820" max="2820" width="17.44140625" style="2" customWidth="1"/>
    <col min="2821" max="2821" width="17.109375" style="2" customWidth="1"/>
    <col min="2822" max="2822" width="17.5546875" style="2" customWidth="1"/>
    <col min="2823" max="3071" width="8.88671875" style="2"/>
    <col min="3072" max="3072" width="2.109375" style="2" customWidth="1"/>
    <col min="3073" max="3073" width="17.5546875" style="2" customWidth="1"/>
    <col min="3074" max="3074" width="19" style="2" customWidth="1"/>
    <col min="3075" max="3075" width="55.5546875" style="2" customWidth="1"/>
    <col min="3076" max="3076" width="17.44140625" style="2" customWidth="1"/>
    <col min="3077" max="3077" width="17.109375" style="2" customWidth="1"/>
    <col min="3078" max="3078" width="17.5546875" style="2" customWidth="1"/>
    <col min="3079" max="3327" width="8.88671875" style="2"/>
    <col min="3328" max="3328" width="2.109375" style="2" customWidth="1"/>
    <col min="3329" max="3329" width="17.5546875" style="2" customWidth="1"/>
    <col min="3330" max="3330" width="19" style="2" customWidth="1"/>
    <col min="3331" max="3331" width="55.5546875" style="2" customWidth="1"/>
    <col min="3332" max="3332" width="17.44140625" style="2" customWidth="1"/>
    <col min="3333" max="3333" width="17.109375" style="2" customWidth="1"/>
    <col min="3334" max="3334" width="17.5546875" style="2" customWidth="1"/>
    <col min="3335" max="3583" width="8.88671875" style="2"/>
    <col min="3584" max="3584" width="2.109375" style="2" customWidth="1"/>
    <col min="3585" max="3585" width="17.5546875" style="2" customWidth="1"/>
    <col min="3586" max="3586" width="19" style="2" customWidth="1"/>
    <col min="3587" max="3587" width="55.5546875" style="2" customWidth="1"/>
    <col min="3588" max="3588" width="17.44140625" style="2" customWidth="1"/>
    <col min="3589" max="3589" width="17.109375" style="2" customWidth="1"/>
    <col min="3590" max="3590" width="17.5546875" style="2" customWidth="1"/>
    <col min="3591" max="3839" width="8.88671875" style="2"/>
    <col min="3840" max="3840" width="2.109375" style="2" customWidth="1"/>
    <col min="3841" max="3841" width="17.5546875" style="2" customWidth="1"/>
    <col min="3842" max="3842" width="19" style="2" customWidth="1"/>
    <col min="3843" max="3843" width="55.5546875" style="2" customWidth="1"/>
    <col min="3844" max="3844" width="17.44140625" style="2" customWidth="1"/>
    <col min="3845" max="3845" width="17.109375" style="2" customWidth="1"/>
    <col min="3846" max="3846" width="17.5546875" style="2" customWidth="1"/>
    <col min="3847" max="4095" width="8.88671875" style="2"/>
    <col min="4096" max="4096" width="2.109375" style="2" customWidth="1"/>
    <col min="4097" max="4097" width="17.5546875" style="2" customWidth="1"/>
    <col min="4098" max="4098" width="19" style="2" customWidth="1"/>
    <col min="4099" max="4099" width="55.5546875" style="2" customWidth="1"/>
    <col min="4100" max="4100" width="17.44140625" style="2" customWidth="1"/>
    <col min="4101" max="4101" width="17.109375" style="2" customWidth="1"/>
    <col min="4102" max="4102" width="17.5546875" style="2" customWidth="1"/>
    <col min="4103" max="4351" width="8.88671875" style="2"/>
    <col min="4352" max="4352" width="2.109375" style="2" customWidth="1"/>
    <col min="4353" max="4353" width="17.5546875" style="2" customWidth="1"/>
    <col min="4354" max="4354" width="19" style="2" customWidth="1"/>
    <col min="4355" max="4355" width="55.5546875" style="2" customWidth="1"/>
    <col min="4356" max="4356" width="17.44140625" style="2" customWidth="1"/>
    <col min="4357" max="4357" width="17.109375" style="2" customWidth="1"/>
    <col min="4358" max="4358" width="17.5546875" style="2" customWidth="1"/>
    <col min="4359" max="4607" width="8.88671875" style="2"/>
    <col min="4608" max="4608" width="2.109375" style="2" customWidth="1"/>
    <col min="4609" max="4609" width="17.5546875" style="2" customWidth="1"/>
    <col min="4610" max="4610" width="19" style="2" customWidth="1"/>
    <col min="4611" max="4611" width="55.5546875" style="2" customWidth="1"/>
    <col min="4612" max="4612" width="17.44140625" style="2" customWidth="1"/>
    <col min="4613" max="4613" width="17.109375" style="2" customWidth="1"/>
    <col min="4614" max="4614" width="17.5546875" style="2" customWidth="1"/>
    <col min="4615" max="4863" width="8.88671875" style="2"/>
    <col min="4864" max="4864" width="2.109375" style="2" customWidth="1"/>
    <col min="4865" max="4865" width="17.5546875" style="2" customWidth="1"/>
    <col min="4866" max="4866" width="19" style="2" customWidth="1"/>
    <col min="4867" max="4867" width="55.5546875" style="2" customWidth="1"/>
    <col min="4868" max="4868" width="17.44140625" style="2" customWidth="1"/>
    <col min="4869" max="4869" width="17.109375" style="2" customWidth="1"/>
    <col min="4870" max="4870" width="17.5546875" style="2" customWidth="1"/>
    <col min="4871" max="5119" width="8.88671875" style="2"/>
    <col min="5120" max="5120" width="2.109375" style="2" customWidth="1"/>
    <col min="5121" max="5121" width="17.5546875" style="2" customWidth="1"/>
    <col min="5122" max="5122" width="19" style="2" customWidth="1"/>
    <col min="5123" max="5123" width="55.5546875" style="2" customWidth="1"/>
    <col min="5124" max="5124" width="17.44140625" style="2" customWidth="1"/>
    <col min="5125" max="5125" width="17.109375" style="2" customWidth="1"/>
    <col min="5126" max="5126" width="17.5546875" style="2" customWidth="1"/>
    <col min="5127" max="5375" width="8.88671875" style="2"/>
    <col min="5376" max="5376" width="2.109375" style="2" customWidth="1"/>
    <col min="5377" max="5377" width="17.5546875" style="2" customWidth="1"/>
    <col min="5378" max="5378" width="19" style="2" customWidth="1"/>
    <col min="5379" max="5379" width="55.5546875" style="2" customWidth="1"/>
    <col min="5380" max="5380" width="17.44140625" style="2" customWidth="1"/>
    <col min="5381" max="5381" width="17.109375" style="2" customWidth="1"/>
    <col min="5382" max="5382" width="17.5546875" style="2" customWidth="1"/>
    <col min="5383" max="5631" width="8.88671875" style="2"/>
    <col min="5632" max="5632" width="2.109375" style="2" customWidth="1"/>
    <col min="5633" max="5633" width="17.5546875" style="2" customWidth="1"/>
    <col min="5634" max="5634" width="19" style="2" customWidth="1"/>
    <col min="5635" max="5635" width="55.5546875" style="2" customWidth="1"/>
    <col min="5636" max="5636" width="17.44140625" style="2" customWidth="1"/>
    <col min="5637" max="5637" width="17.109375" style="2" customWidth="1"/>
    <col min="5638" max="5638" width="17.5546875" style="2" customWidth="1"/>
    <col min="5639" max="5887" width="8.88671875" style="2"/>
    <col min="5888" max="5888" width="2.109375" style="2" customWidth="1"/>
    <col min="5889" max="5889" width="17.5546875" style="2" customWidth="1"/>
    <col min="5890" max="5890" width="19" style="2" customWidth="1"/>
    <col min="5891" max="5891" width="55.5546875" style="2" customWidth="1"/>
    <col min="5892" max="5892" width="17.44140625" style="2" customWidth="1"/>
    <col min="5893" max="5893" width="17.109375" style="2" customWidth="1"/>
    <col min="5894" max="5894" width="17.5546875" style="2" customWidth="1"/>
    <col min="5895" max="6143" width="8.88671875" style="2"/>
    <col min="6144" max="6144" width="2.109375" style="2" customWidth="1"/>
    <col min="6145" max="6145" width="17.5546875" style="2" customWidth="1"/>
    <col min="6146" max="6146" width="19" style="2" customWidth="1"/>
    <col min="6147" max="6147" width="55.5546875" style="2" customWidth="1"/>
    <col min="6148" max="6148" width="17.44140625" style="2" customWidth="1"/>
    <col min="6149" max="6149" width="17.109375" style="2" customWidth="1"/>
    <col min="6150" max="6150" width="17.5546875" style="2" customWidth="1"/>
    <col min="6151" max="6399" width="8.88671875" style="2"/>
    <col min="6400" max="6400" width="2.109375" style="2" customWidth="1"/>
    <col min="6401" max="6401" width="17.5546875" style="2" customWidth="1"/>
    <col min="6402" max="6402" width="19" style="2" customWidth="1"/>
    <col min="6403" max="6403" width="55.5546875" style="2" customWidth="1"/>
    <col min="6404" max="6404" width="17.44140625" style="2" customWidth="1"/>
    <col min="6405" max="6405" width="17.109375" style="2" customWidth="1"/>
    <col min="6406" max="6406" width="17.5546875" style="2" customWidth="1"/>
    <col min="6407" max="6655" width="8.88671875" style="2"/>
    <col min="6656" max="6656" width="2.109375" style="2" customWidth="1"/>
    <col min="6657" max="6657" width="17.5546875" style="2" customWidth="1"/>
    <col min="6658" max="6658" width="19" style="2" customWidth="1"/>
    <col min="6659" max="6659" width="55.5546875" style="2" customWidth="1"/>
    <col min="6660" max="6660" width="17.44140625" style="2" customWidth="1"/>
    <col min="6661" max="6661" width="17.109375" style="2" customWidth="1"/>
    <col min="6662" max="6662" width="17.5546875" style="2" customWidth="1"/>
    <col min="6663" max="6911" width="8.88671875" style="2"/>
    <col min="6912" max="6912" width="2.109375" style="2" customWidth="1"/>
    <col min="6913" max="6913" width="17.5546875" style="2" customWidth="1"/>
    <col min="6914" max="6914" width="19" style="2" customWidth="1"/>
    <col min="6915" max="6915" width="55.5546875" style="2" customWidth="1"/>
    <col min="6916" max="6916" width="17.44140625" style="2" customWidth="1"/>
    <col min="6917" max="6917" width="17.109375" style="2" customWidth="1"/>
    <col min="6918" max="6918" width="17.5546875" style="2" customWidth="1"/>
    <col min="6919" max="7167" width="8.88671875" style="2"/>
    <col min="7168" max="7168" width="2.109375" style="2" customWidth="1"/>
    <col min="7169" max="7169" width="17.5546875" style="2" customWidth="1"/>
    <col min="7170" max="7170" width="19" style="2" customWidth="1"/>
    <col min="7171" max="7171" width="55.5546875" style="2" customWidth="1"/>
    <col min="7172" max="7172" width="17.44140625" style="2" customWidth="1"/>
    <col min="7173" max="7173" width="17.109375" style="2" customWidth="1"/>
    <col min="7174" max="7174" width="17.5546875" style="2" customWidth="1"/>
    <col min="7175" max="7423" width="8.88671875" style="2"/>
    <col min="7424" max="7424" width="2.109375" style="2" customWidth="1"/>
    <col min="7425" max="7425" width="17.5546875" style="2" customWidth="1"/>
    <col min="7426" max="7426" width="19" style="2" customWidth="1"/>
    <col min="7427" max="7427" width="55.5546875" style="2" customWidth="1"/>
    <col min="7428" max="7428" width="17.44140625" style="2" customWidth="1"/>
    <col min="7429" max="7429" width="17.109375" style="2" customWidth="1"/>
    <col min="7430" max="7430" width="17.5546875" style="2" customWidth="1"/>
    <col min="7431" max="7679" width="8.88671875" style="2"/>
    <col min="7680" max="7680" width="2.109375" style="2" customWidth="1"/>
    <col min="7681" max="7681" width="17.5546875" style="2" customWidth="1"/>
    <col min="7682" max="7682" width="19" style="2" customWidth="1"/>
    <col min="7683" max="7683" width="55.5546875" style="2" customWidth="1"/>
    <col min="7684" max="7684" width="17.44140625" style="2" customWidth="1"/>
    <col min="7685" max="7685" width="17.109375" style="2" customWidth="1"/>
    <col min="7686" max="7686" width="17.5546875" style="2" customWidth="1"/>
    <col min="7687" max="7935" width="8.88671875" style="2"/>
    <col min="7936" max="7936" width="2.109375" style="2" customWidth="1"/>
    <col min="7937" max="7937" width="17.5546875" style="2" customWidth="1"/>
    <col min="7938" max="7938" width="19" style="2" customWidth="1"/>
    <col min="7939" max="7939" width="55.5546875" style="2" customWidth="1"/>
    <col min="7940" max="7940" width="17.44140625" style="2" customWidth="1"/>
    <col min="7941" max="7941" width="17.109375" style="2" customWidth="1"/>
    <col min="7942" max="7942" width="17.5546875" style="2" customWidth="1"/>
    <col min="7943" max="8191" width="8.88671875" style="2"/>
    <col min="8192" max="8192" width="2.109375" style="2" customWidth="1"/>
    <col min="8193" max="8193" width="17.5546875" style="2" customWidth="1"/>
    <col min="8194" max="8194" width="19" style="2" customWidth="1"/>
    <col min="8195" max="8195" width="55.5546875" style="2" customWidth="1"/>
    <col min="8196" max="8196" width="17.44140625" style="2" customWidth="1"/>
    <col min="8197" max="8197" width="17.109375" style="2" customWidth="1"/>
    <col min="8198" max="8198" width="17.5546875" style="2" customWidth="1"/>
    <col min="8199" max="8447" width="8.88671875" style="2"/>
    <col min="8448" max="8448" width="2.109375" style="2" customWidth="1"/>
    <col min="8449" max="8449" width="17.5546875" style="2" customWidth="1"/>
    <col min="8450" max="8450" width="19" style="2" customWidth="1"/>
    <col min="8451" max="8451" width="55.5546875" style="2" customWidth="1"/>
    <col min="8452" max="8452" width="17.44140625" style="2" customWidth="1"/>
    <col min="8453" max="8453" width="17.109375" style="2" customWidth="1"/>
    <col min="8454" max="8454" width="17.5546875" style="2" customWidth="1"/>
    <col min="8455" max="8703" width="8.88671875" style="2"/>
    <col min="8704" max="8704" width="2.109375" style="2" customWidth="1"/>
    <col min="8705" max="8705" width="17.5546875" style="2" customWidth="1"/>
    <col min="8706" max="8706" width="19" style="2" customWidth="1"/>
    <col min="8707" max="8707" width="55.5546875" style="2" customWidth="1"/>
    <col min="8708" max="8708" width="17.44140625" style="2" customWidth="1"/>
    <col min="8709" max="8709" width="17.109375" style="2" customWidth="1"/>
    <col min="8710" max="8710" width="17.5546875" style="2" customWidth="1"/>
    <col min="8711" max="8959" width="8.88671875" style="2"/>
    <col min="8960" max="8960" width="2.109375" style="2" customWidth="1"/>
    <col min="8961" max="8961" width="17.5546875" style="2" customWidth="1"/>
    <col min="8962" max="8962" width="19" style="2" customWidth="1"/>
    <col min="8963" max="8963" width="55.5546875" style="2" customWidth="1"/>
    <col min="8964" max="8964" width="17.44140625" style="2" customWidth="1"/>
    <col min="8965" max="8965" width="17.109375" style="2" customWidth="1"/>
    <col min="8966" max="8966" width="17.5546875" style="2" customWidth="1"/>
    <col min="8967" max="9215" width="8.88671875" style="2"/>
    <col min="9216" max="9216" width="2.109375" style="2" customWidth="1"/>
    <col min="9217" max="9217" width="17.5546875" style="2" customWidth="1"/>
    <col min="9218" max="9218" width="19" style="2" customWidth="1"/>
    <col min="9219" max="9219" width="55.5546875" style="2" customWidth="1"/>
    <col min="9220" max="9220" width="17.44140625" style="2" customWidth="1"/>
    <col min="9221" max="9221" width="17.109375" style="2" customWidth="1"/>
    <col min="9222" max="9222" width="17.5546875" style="2" customWidth="1"/>
    <col min="9223" max="9471" width="8.88671875" style="2"/>
    <col min="9472" max="9472" width="2.109375" style="2" customWidth="1"/>
    <col min="9473" max="9473" width="17.5546875" style="2" customWidth="1"/>
    <col min="9474" max="9474" width="19" style="2" customWidth="1"/>
    <col min="9475" max="9475" width="55.5546875" style="2" customWidth="1"/>
    <col min="9476" max="9476" width="17.44140625" style="2" customWidth="1"/>
    <col min="9477" max="9477" width="17.109375" style="2" customWidth="1"/>
    <col min="9478" max="9478" width="17.5546875" style="2" customWidth="1"/>
    <col min="9479" max="9727" width="8.88671875" style="2"/>
    <col min="9728" max="9728" width="2.109375" style="2" customWidth="1"/>
    <col min="9729" max="9729" width="17.5546875" style="2" customWidth="1"/>
    <col min="9730" max="9730" width="19" style="2" customWidth="1"/>
    <col min="9731" max="9731" width="55.5546875" style="2" customWidth="1"/>
    <col min="9732" max="9732" width="17.44140625" style="2" customWidth="1"/>
    <col min="9733" max="9733" width="17.109375" style="2" customWidth="1"/>
    <col min="9734" max="9734" width="17.5546875" style="2" customWidth="1"/>
    <col min="9735" max="9983" width="8.88671875" style="2"/>
    <col min="9984" max="9984" width="2.109375" style="2" customWidth="1"/>
    <col min="9985" max="9985" width="17.5546875" style="2" customWidth="1"/>
    <col min="9986" max="9986" width="19" style="2" customWidth="1"/>
    <col min="9987" max="9987" width="55.5546875" style="2" customWidth="1"/>
    <col min="9988" max="9988" width="17.44140625" style="2" customWidth="1"/>
    <col min="9989" max="9989" width="17.109375" style="2" customWidth="1"/>
    <col min="9990" max="9990" width="17.5546875" style="2" customWidth="1"/>
    <col min="9991" max="10239" width="8.88671875" style="2"/>
    <col min="10240" max="10240" width="2.109375" style="2" customWidth="1"/>
    <col min="10241" max="10241" width="17.5546875" style="2" customWidth="1"/>
    <col min="10242" max="10242" width="19" style="2" customWidth="1"/>
    <col min="10243" max="10243" width="55.5546875" style="2" customWidth="1"/>
    <col min="10244" max="10244" width="17.44140625" style="2" customWidth="1"/>
    <col min="10245" max="10245" width="17.109375" style="2" customWidth="1"/>
    <col min="10246" max="10246" width="17.5546875" style="2" customWidth="1"/>
    <col min="10247" max="10495" width="8.88671875" style="2"/>
    <col min="10496" max="10496" width="2.109375" style="2" customWidth="1"/>
    <col min="10497" max="10497" width="17.5546875" style="2" customWidth="1"/>
    <col min="10498" max="10498" width="19" style="2" customWidth="1"/>
    <col min="10499" max="10499" width="55.5546875" style="2" customWidth="1"/>
    <col min="10500" max="10500" width="17.44140625" style="2" customWidth="1"/>
    <col min="10501" max="10501" width="17.109375" style="2" customWidth="1"/>
    <col min="10502" max="10502" width="17.5546875" style="2" customWidth="1"/>
    <col min="10503" max="10751" width="8.88671875" style="2"/>
    <col min="10752" max="10752" width="2.109375" style="2" customWidth="1"/>
    <col min="10753" max="10753" width="17.5546875" style="2" customWidth="1"/>
    <col min="10754" max="10754" width="19" style="2" customWidth="1"/>
    <col min="10755" max="10755" width="55.5546875" style="2" customWidth="1"/>
    <col min="10756" max="10756" width="17.44140625" style="2" customWidth="1"/>
    <col min="10757" max="10757" width="17.109375" style="2" customWidth="1"/>
    <col min="10758" max="10758" width="17.5546875" style="2" customWidth="1"/>
    <col min="10759" max="11007" width="8.88671875" style="2"/>
    <col min="11008" max="11008" width="2.109375" style="2" customWidth="1"/>
    <col min="11009" max="11009" width="17.5546875" style="2" customWidth="1"/>
    <col min="11010" max="11010" width="19" style="2" customWidth="1"/>
    <col min="11011" max="11011" width="55.5546875" style="2" customWidth="1"/>
    <col min="11012" max="11012" width="17.44140625" style="2" customWidth="1"/>
    <col min="11013" max="11013" width="17.109375" style="2" customWidth="1"/>
    <col min="11014" max="11014" width="17.5546875" style="2" customWidth="1"/>
    <col min="11015" max="11263" width="8.88671875" style="2"/>
    <col min="11264" max="11264" width="2.109375" style="2" customWidth="1"/>
    <col min="11265" max="11265" width="17.5546875" style="2" customWidth="1"/>
    <col min="11266" max="11266" width="19" style="2" customWidth="1"/>
    <col min="11267" max="11267" width="55.5546875" style="2" customWidth="1"/>
    <col min="11268" max="11268" width="17.44140625" style="2" customWidth="1"/>
    <col min="11269" max="11269" width="17.109375" style="2" customWidth="1"/>
    <col min="11270" max="11270" width="17.5546875" style="2" customWidth="1"/>
    <col min="11271" max="11519" width="8.88671875" style="2"/>
    <col min="11520" max="11520" width="2.109375" style="2" customWidth="1"/>
    <col min="11521" max="11521" width="17.5546875" style="2" customWidth="1"/>
    <col min="11522" max="11522" width="19" style="2" customWidth="1"/>
    <col min="11523" max="11523" width="55.5546875" style="2" customWidth="1"/>
    <col min="11524" max="11524" width="17.44140625" style="2" customWidth="1"/>
    <col min="11525" max="11525" width="17.109375" style="2" customWidth="1"/>
    <col min="11526" max="11526" width="17.5546875" style="2" customWidth="1"/>
    <col min="11527" max="11775" width="8.88671875" style="2"/>
    <col min="11776" max="11776" width="2.109375" style="2" customWidth="1"/>
    <col min="11777" max="11777" width="17.5546875" style="2" customWidth="1"/>
    <col min="11778" max="11778" width="19" style="2" customWidth="1"/>
    <col min="11779" max="11779" width="55.5546875" style="2" customWidth="1"/>
    <col min="11780" max="11780" width="17.44140625" style="2" customWidth="1"/>
    <col min="11781" max="11781" width="17.109375" style="2" customWidth="1"/>
    <col min="11782" max="11782" width="17.5546875" style="2" customWidth="1"/>
    <col min="11783" max="12031" width="8.88671875" style="2"/>
    <col min="12032" max="12032" width="2.109375" style="2" customWidth="1"/>
    <col min="12033" max="12033" width="17.5546875" style="2" customWidth="1"/>
    <col min="12034" max="12034" width="19" style="2" customWidth="1"/>
    <col min="12035" max="12035" width="55.5546875" style="2" customWidth="1"/>
    <col min="12036" max="12036" width="17.44140625" style="2" customWidth="1"/>
    <col min="12037" max="12037" width="17.109375" style="2" customWidth="1"/>
    <col min="12038" max="12038" width="17.5546875" style="2" customWidth="1"/>
    <col min="12039" max="12287" width="8.88671875" style="2"/>
    <col min="12288" max="12288" width="2.109375" style="2" customWidth="1"/>
    <col min="12289" max="12289" width="17.5546875" style="2" customWidth="1"/>
    <col min="12290" max="12290" width="19" style="2" customWidth="1"/>
    <col min="12291" max="12291" width="55.5546875" style="2" customWidth="1"/>
    <col min="12292" max="12292" width="17.44140625" style="2" customWidth="1"/>
    <col min="12293" max="12293" width="17.109375" style="2" customWidth="1"/>
    <col min="12294" max="12294" width="17.5546875" style="2" customWidth="1"/>
    <col min="12295" max="12543" width="8.88671875" style="2"/>
    <col min="12544" max="12544" width="2.109375" style="2" customWidth="1"/>
    <col min="12545" max="12545" width="17.5546875" style="2" customWidth="1"/>
    <col min="12546" max="12546" width="19" style="2" customWidth="1"/>
    <col min="12547" max="12547" width="55.5546875" style="2" customWidth="1"/>
    <col min="12548" max="12548" width="17.44140625" style="2" customWidth="1"/>
    <col min="12549" max="12549" width="17.109375" style="2" customWidth="1"/>
    <col min="12550" max="12550" width="17.5546875" style="2" customWidth="1"/>
    <col min="12551" max="12799" width="8.88671875" style="2"/>
    <col min="12800" max="12800" width="2.109375" style="2" customWidth="1"/>
    <col min="12801" max="12801" width="17.5546875" style="2" customWidth="1"/>
    <col min="12802" max="12802" width="19" style="2" customWidth="1"/>
    <col min="12803" max="12803" width="55.5546875" style="2" customWidth="1"/>
    <col min="12804" max="12804" width="17.44140625" style="2" customWidth="1"/>
    <col min="12805" max="12805" width="17.109375" style="2" customWidth="1"/>
    <col min="12806" max="12806" width="17.5546875" style="2" customWidth="1"/>
    <col min="12807" max="13055" width="8.88671875" style="2"/>
    <col min="13056" max="13056" width="2.109375" style="2" customWidth="1"/>
    <col min="13057" max="13057" width="17.5546875" style="2" customWidth="1"/>
    <col min="13058" max="13058" width="19" style="2" customWidth="1"/>
    <col min="13059" max="13059" width="55.5546875" style="2" customWidth="1"/>
    <col min="13060" max="13060" width="17.44140625" style="2" customWidth="1"/>
    <col min="13061" max="13061" width="17.109375" style="2" customWidth="1"/>
    <col min="13062" max="13062" width="17.5546875" style="2" customWidth="1"/>
    <col min="13063" max="13311" width="8.88671875" style="2"/>
    <col min="13312" max="13312" width="2.109375" style="2" customWidth="1"/>
    <col min="13313" max="13313" width="17.5546875" style="2" customWidth="1"/>
    <col min="13314" max="13314" width="19" style="2" customWidth="1"/>
    <col min="13315" max="13315" width="55.5546875" style="2" customWidth="1"/>
    <col min="13316" max="13316" width="17.44140625" style="2" customWidth="1"/>
    <col min="13317" max="13317" width="17.109375" style="2" customWidth="1"/>
    <col min="13318" max="13318" width="17.5546875" style="2" customWidth="1"/>
    <col min="13319" max="13567" width="8.88671875" style="2"/>
    <col min="13568" max="13568" width="2.109375" style="2" customWidth="1"/>
    <col min="13569" max="13569" width="17.5546875" style="2" customWidth="1"/>
    <col min="13570" max="13570" width="19" style="2" customWidth="1"/>
    <col min="13571" max="13571" width="55.5546875" style="2" customWidth="1"/>
    <col min="13572" max="13572" width="17.44140625" style="2" customWidth="1"/>
    <col min="13573" max="13573" width="17.109375" style="2" customWidth="1"/>
    <col min="13574" max="13574" width="17.5546875" style="2" customWidth="1"/>
    <col min="13575" max="13823" width="8.88671875" style="2"/>
    <col min="13824" max="13824" width="2.109375" style="2" customWidth="1"/>
    <col min="13825" max="13825" width="17.5546875" style="2" customWidth="1"/>
    <col min="13826" max="13826" width="19" style="2" customWidth="1"/>
    <col min="13827" max="13827" width="55.5546875" style="2" customWidth="1"/>
    <col min="13828" max="13828" width="17.44140625" style="2" customWidth="1"/>
    <col min="13829" max="13829" width="17.109375" style="2" customWidth="1"/>
    <col min="13830" max="13830" width="17.5546875" style="2" customWidth="1"/>
    <col min="13831" max="14079" width="8.88671875" style="2"/>
    <col min="14080" max="14080" width="2.109375" style="2" customWidth="1"/>
    <col min="14081" max="14081" width="17.5546875" style="2" customWidth="1"/>
    <col min="14082" max="14082" width="19" style="2" customWidth="1"/>
    <col min="14083" max="14083" width="55.5546875" style="2" customWidth="1"/>
    <col min="14084" max="14084" width="17.44140625" style="2" customWidth="1"/>
    <col min="14085" max="14085" width="17.109375" style="2" customWidth="1"/>
    <col min="14086" max="14086" width="17.5546875" style="2" customWidth="1"/>
    <col min="14087" max="14335" width="8.88671875" style="2"/>
    <col min="14336" max="14336" width="2.109375" style="2" customWidth="1"/>
    <col min="14337" max="14337" width="17.5546875" style="2" customWidth="1"/>
    <col min="14338" max="14338" width="19" style="2" customWidth="1"/>
    <col min="14339" max="14339" width="55.5546875" style="2" customWidth="1"/>
    <col min="14340" max="14340" width="17.44140625" style="2" customWidth="1"/>
    <col min="14341" max="14341" width="17.109375" style="2" customWidth="1"/>
    <col min="14342" max="14342" width="17.5546875" style="2" customWidth="1"/>
    <col min="14343" max="14591" width="8.88671875" style="2"/>
    <col min="14592" max="14592" width="2.109375" style="2" customWidth="1"/>
    <col min="14593" max="14593" width="17.5546875" style="2" customWidth="1"/>
    <col min="14594" max="14594" width="19" style="2" customWidth="1"/>
    <col min="14595" max="14595" width="55.5546875" style="2" customWidth="1"/>
    <col min="14596" max="14596" width="17.44140625" style="2" customWidth="1"/>
    <col min="14597" max="14597" width="17.109375" style="2" customWidth="1"/>
    <col min="14598" max="14598" width="17.5546875" style="2" customWidth="1"/>
    <col min="14599" max="14847" width="8.88671875" style="2"/>
    <col min="14848" max="14848" width="2.109375" style="2" customWidth="1"/>
    <col min="14849" max="14849" width="17.5546875" style="2" customWidth="1"/>
    <col min="14850" max="14850" width="19" style="2" customWidth="1"/>
    <col min="14851" max="14851" width="55.5546875" style="2" customWidth="1"/>
    <col min="14852" max="14852" width="17.44140625" style="2" customWidth="1"/>
    <col min="14853" max="14853" width="17.109375" style="2" customWidth="1"/>
    <col min="14854" max="14854" width="17.5546875" style="2" customWidth="1"/>
    <col min="14855" max="15103" width="8.88671875" style="2"/>
    <col min="15104" max="15104" width="2.109375" style="2" customWidth="1"/>
    <col min="15105" max="15105" width="17.5546875" style="2" customWidth="1"/>
    <col min="15106" max="15106" width="19" style="2" customWidth="1"/>
    <col min="15107" max="15107" width="55.5546875" style="2" customWidth="1"/>
    <col min="15108" max="15108" width="17.44140625" style="2" customWidth="1"/>
    <col min="15109" max="15109" width="17.109375" style="2" customWidth="1"/>
    <col min="15110" max="15110" width="17.5546875" style="2" customWidth="1"/>
    <col min="15111" max="15359" width="8.88671875" style="2"/>
    <col min="15360" max="15360" width="2.109375" style="2" customWidth="1"/>
    <col min="15361" max="15361" width="17.5546875" style="2" customWidth="1"/>
    <col min="15362" max="15362" width="19" style="2" customWidth="1"/>
    <col min="15363" max="15363" width="55.5546875" style="2" customWidth="1"/>
    <col min="15364" max="15364" width="17.44140625" style="2" customWidth="1"/>
    <col min="15365" max="15365" width="17.109375" style="2" customWidth="1"/>
    <col min="15366" max="15366" width="17.5546875" style="2" customWidth="1"/>
    <col min="15367" max="15615" width="8.88671875" style="2"/>
    <col min="15616" max="15616" width="2.109375" style="2" customWidth="1"/>
    <col min="15617" max="15617" width="17.5546875" style="2" customWidth="1"/>
    <col min="15618" max="15618" width="19" style="2" customWidth="1"/>
    <col min="15619" max="15619" width="55.5546875" style="2" customWidth="1"/>
    <col min="15620" max="15620" width="17.44140625" style="2" customWidth="1"/>
    <col min="15621" max="15621" width="17.109375" style="2" customWidth="1"/>
    <col min="15622" max="15622" width="17.5546875" style="2" customWidth="1"/>
    <col min="15623" max="15871" width="8.88671875" style="2"/>
    <col min="15872" max="15872" width="2.109375" style="2" customWidth="1"/>
    <col min="15873" max="15873" width="17.5546875" style="2" customWidth="1"/>
    <col min="15874" max="15874" width="19" style="2" customWidth="1"/>
    <col min="15875" max="15875" width="55.5546875" style="2" customWidth="1"/>
    <col min="15876" max="15876" width="17.44140625" style="2" customWidth="1"/>
    <col min="15877" max="15877" width="17.109375" style="2" customWidth="1"/>
    <col min="15878" max="15878" width="17.5546875" style="2" customWidth="1"/>
    <col min="15879" max="16127" width="8.88671875" style="2"/>
    <col min="16128" max="16128" width="2.109375" style="2" customWidth="1"/>
    <col min="16129" max="16129" width="17.5546875" style="2" customWidth="1"/>
    <col min="16130" max="16130" width="19" style="2" customWidth="1"/>
    <col min="16131" max="16131" width="55.5546875" style="2" customWidth="1"/>
    <col min="16132" max="16132" width="17.44140625" style="2" customWidth="1"/>
    <col min="16133" max="16133" width="17.109375" style="2" customWidth="1"/>
    <col min="16134" max="16134" width="17.5546875" style="2" customWidth="1"/>
    <col min="16135" max="16384" width="8.88671875" style="2"/>
  </cols>
  <sheetData>
    <row r="1" spans="2:7">
      <c r="B1" s="4"/>
      <c r="G1" s="23"/>
    </row>
    <row r="3" spans="2:7" s="4" customFormat="1" ht="14.4" customHeight="1">
      <c r="B3" s="24" t="s">
        <v>0</v>
      </c>
      <c r="C3" s="24" t="s">
        <v>1</v>
      </c>
      <c r="D3" s="25" t="s">
        <v>2</v>
      </c>
      <c r="E3" s="26" t="s">
        <v>3</v>
      </c>
      <c r="F3" s="26" t="s">
        <v>735</v>
      </c>
      <c r="G3" s="26" t="s">
        <v>4</v>
      </c>
    </row>
    <row r="4" spans="2:7" s="7" customFormat="1" ht="14.4" customHeight="1">
      <c r="B4" s="27" t="s">
        <v>590</v>
      </c>
      <c r="C4" s="28" t="s">
        <v>5</v>
      </c>
      <c r="D4" s="29" t="s">
        <v>591</v>
      </c>
      <c r="E4" s="30">
        <f>CastiStavby!I13</f>
        <v>0</v>
      </c>
      <c r="F4" s="30">
        <f>ROUND(E4*0.23,2)</f>
        <v>0</v>
      </c>
      <c r="G4" s="30">
        <f>ROUND(E4+F4,2)</f>
        <v>0</v>
      </c>
    </row>
    <row r="5" spans="2:7" s="7" customFormat="1" ht="14.4" customHeight="1">
      <c r="B5" s="28">
        <v>201</v>
      </c>
      <c r="C5" s="28" t="s">
        <v>5</v>
      </c>
      <c r="D5" s="29" t="s">
        <v>6</v>
      </c>
      <c r="E5" s="30">
        <f>CastiStavby!I105</f>
        <v>0</v>
      </c>
      <c r="F5" s="30">
        <f>ROUND(E5*0.23,2)</f>
        <v>0</v>
      </c>
      <c r="G5" s="30">
        <f>ROUND(E5+F5,2)</f>
        <v>0</v>
      </c>
    </row>
    <row r="6" spans="2:7" s="35" customFormat="1" ht="14.4" customHeight="1">
      <c r="B6" s="31" t="s">
        <v>7</v>
      </c>
      <c r="C6" s="31"/>
      <c r="D6" s="32"/>
      <c r="E6" s="33">
        <f>SUM(E4:E5)</f>
        <v>0</v>
      </c>
      <c r="F6" s="33">
        <f>SUM(F4:F5)</f>
        <v>0</v>
      </c>
      <c r="G6" s="33">
        <f>SUM(G4:G5)</f>
        <v>0</v>
      </c>
    </row>
    <row r="12" spans="2:7">
      <c r="B12" s="49" t="s">
        <v>733</v>
      </c>
      <c r="C12" s="49"/>
    </row>
    <row r="13" spans="2:7">
      <c r="F13" s="48"/>
      <c r="G13" s="48"/>
    </row>
    <row r="14" spans="2:7">
      <c r="F14" s="56" t="s">
        <v>730</v>
      </c>
      <c r="G14" s="56"/>
    </row>
    <row r="15" spans="2:7">
      <c r="B15" s="49" t="s">
        <v>731</v>
      </c>
      <c r="C15" s="49"/>
      <c r="F15" s="56" t="s">
        <v>732</v>
      </c>
      <c r="G15" s="56"/>
    </row>
  </sheetData>
  <sheetProtection algorithmName="SHA-512" hashValue="jxa0pQczhP9PnbvEQXQV7OZipNVQL0pJWOvJYdCcUDAxoB6Li/WnFj3ptW4TMmJznchtuPfeGQQrFQld+4k5Ow==" saltValue="Bn4U1/FOweM9vTtnCCx3sg==" spinCount="100000" sheet="1"/>
  <mergeCells count="5">
    <mergeCell ref="F13:G13"/>
    <mergeCell ref="F14:G14"/>
    <mergeCell ref="F15:G15"/>
    <mergeCell ref="B12:C12"/>
    <mergeCell ref="B15:C15"/>
  </mergeCells>
  <pageMargins left="0.43307086614173229" right="0.43307086614173229" top="0.9821428571428571" bottom="0.62992125984251968" header="0.27559055118110237" footer="0.27559055118110237"/>
  <pageSetup fitToHeight="0" orientation="landscape" errors="blank" r:id="rId1"/>
  <headerFooter>
    <oddHeader>&amp;LOprava mosta ev.č. R1-168.1 vetva v križovatke Kováčová&amp;R&amp;"-,Normálne"&amp;11Príloha č.3 k B2 -Výkaz výmer 
(zároveň Príloha č.2 k Zmluve)
Rekapitulácia stavby</oddHeader>
    <oddFooter>&amp;RStrana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showGridLines="0" topLeftCell="A100" zoomScaleNormal="100" zoomScaleSheetLayoutView="85" workbookViewId="0">
      <selection activeCell="J9" sqref="J9"/>
    </sheetView>
  </sheetViews>
  <sheetFormatPr defaultColWidth="5" defaultRowHeight="13.2"/>
  <cols>
    <col min="1" max="1" width="2.109375" style="2" customWidth="1"/>
    <col min="2" max="2" width="30.109375" style="22" customWidth="1"/>
    <col min="3" max="3" width="7.109375" style="2" customWidth="1"/>
    <col min="4" max="4" width="9.88671875" style="2" customWidth="1"/>
    <col min="5" max="5" width="49.5546875" style="22" customWidth="1"/>
    <col min="6" max="6" width="7.88671875" style="2" customWidth="1"/>
    <col min="7" max="7" width="8.44140625" style="2" customWidth="1"/>
    <col min="8" max="8" width="24.88671875" style="2" customWidth="1"/>
    <col min="9" max="231" width="5" style="2"/>
    <col min="232" max="232" width="2.109375" style="2" customWidth="1"/>
    <col min="233" max="233" width="24.88671875" style="2" customWidth="1"/>
    <col min="234" max="234" width="12.44140625" style="2" customWidth="1"/>
    <col min="235" max="235" width="12.109375" style="2" customWidth="1"/>
    <col min="236" max="236" width="48.109375" style="2" customWidth="1"/>
    <col min="237" max="237" width="4.5546875" style="2" customWidth="1"/>
    <col min="238" max="238" width="11.88671875" style="2" customWidth="1"/>
    <col min="239" max="239" width="0.5546875" style="2" customWidth="1"/>
    <col min="240" max="240" width="18.88671875" style="2" customWidth="1"/>
    <col min="241" max="242" width="0" style="2" hidden="1" customWidth="1"/>
    <col min="243" max="487" width="5" style="2"/>
    <col min="488" max="488" width="2.109375" style="2" customWidth="1"/>
    <col min="489" max="489" width="24.88671875" style="2" customWidth="1"/>
    <col min="490" max="490" width="12.44140625" style="2" customWidth="1"/>
    <col min="491" max="491" width="12.109375" style="2" customWidth="1"/>
    <col min="492" max="492" width="48.109375" style="2" customWidth="1"/>
    <col min="493" max="493" width="4.5546875" style="2" customWidth="1"/>
    <col min="494" max="494" width="11.88671875" style="2" customWidth="1"/>
    <col min="495" max="495" width="0.5546875" style="2" customWidth="1"/>
    <col min="496" max="496" width="18.88671875" style="2" customWidth="1"/>
    <col min="497" max="498" width="0" style="2" hidden="1" customWidth="1"/>
    <col min="499" max="743" width="5" style="2"/>
    <col min="744" max="744" width="2.109375" style="2" customWidth="1"/>
    <col min="745" max="745" width="24.88671875" style="2" customWidth="1"/>
    <col min="746" max="746" width="12.44140625" style="2" customWidth="1"/>
    <col min="747" max="747" width="12.109375" style="2" customWidth="1"/>
    <col min="748" max="748" width="48.109375" style="2" customWidth="1"/>
    <col min="749" max="749" width="4.5546875" style="2" customWidth="1"/>
    <col min="750" max="750" width="11.88671875" style="2" customWidth="1"/>
    <col min="751" max="751" width="0.5546875" style="2" customWidth="1"/>
    <col min="752" max="752" width="18.88671875" style="2" customWidth="1"/>
    <col min="753" max="754" width="0" style="2" hidden="1" customWidth="1"/>
    <col min="755" max="999" width="5" style="2"/>
    <col min="1000" max="1000" width="2.109375" style="2" customWidth="1"/>
    <col min="1001" max="1001" width="24.88671875" style="2" customWidth="1"/>
    <col min="1002" max="1002" width="12.44140625" style="2" customWidth="1"/>
    <col min="1003" max="1003" width="12.109375" style="2" customWidth="1"/>
    <col min="1004" max="1004" width="48.109375" style="2" customWidth="1"/>
    <col min="1005" max="1005" width="4.5546875" style="2" customWidth="1"/>
    <col min="1006" max="1006" width="11.88671875" style="2" customWidth="1"/>
    <col min="1007" max="1007" width="0.5546875" style="2" customWidth="1"/>
    <col min="1008" max="1008" width="18.88671875" style="2" customWidth="1"/>
    <col min="1009" max="1010" width="0" style="2" hidden="1" customWidth="1"/>
    <col min="1011" max="1255" width="5" style="2"/>
    <col min="1256" max="1256" width="2.109375" style="2" customWidth="1"/>
    <col min="1257" max="1257" width="24.88671875" style="2" customWidth="1"/>
    <col min="1258" max="1258" width="12.44140625" style="2" customWidth="1"/>
    <col min="1259" max="1259" width="12.109375" style="2" customWidth="1"/>
    <col min="1260" max="1260" width="48.109375" style="2" customWidth="1"/>
    <col min="1261" max="1261" width="4.5546875" style="2" customWidth="1"/>
    <col min="1262" max="1262" width="11.88671875" style="2" customWidth="1"/>
    <col min="1263" max="1263" width="0.5546875" style="2" customWidth="1"/>
    <col min="1264" max="1264" width="18.88671875" style="2" customWidth="1"/>
    <col min="1265" max="1266" width="0" style="2" hidden="1" customWidth="1"/>
    <col min="1267" max="1511" width="5" style="2"/>
    <col min="1512" max="1512" width="2.109375" style="2" customWidth="1"/>
    <col min="1513" max="1513" width="24.88671875" style="2" customWidth="1"/>
    <col min="1514" max="1514" width="12.44140625" style="2" customWidth="1"/>
    <col min="1515" max="1515" width="12.109375" style="2" customWidth="1"/>
    <col min="1516" max="1516" width="48.109375" style="2" customWidth="1"/>
    <col min="1517" max="1517" width="4.5546875" style="2" customWidth="1"/>
    <col min="1518" max="1518" width="11.88671875" style="2" customWidth="1"/>
    <col min="1519" max="1519" width="0.5546875" style="2" customWidth="1"/>
    <col min="1520" max="1520" width="18.88671875" style="2" customWidth="1"/>
    <col min="1521" max="1522" width="0" style="2" hidden="1" customWidth="1"/>
    <col min="1523" max="1767" width="5" style="2"/>
    <col min="1768" max="1768" width="2.109375" style="2" customWidth="1"/>
    <col min="1769" max="1769" width="24.88671875" style="2" customWidth="1"/>
    <col min="1770" max="1770" width="12.44140625" style="2" customWidth="1"/>
    <col min="1771" max="1771" width="12.109375" style="2" customWidth="1"/>
    <col min="1772" max="1772" width="48.109375" style="2" customWidth="1"/>
    <col min="1773" max="1773" width="4.5546875" style="2" customWidth="1"/>
    <col min="1774" max="1774" width="11.88671875" style="2" customWidth="1"/>
    <col min="1775" max="1775" width="0.5546875" style="2" customWidth="1"/>
    <col min="1776" max="1776" width="18.88671875" style="2" customWidth="1"/>
    <col min="1777" max="1778" width="0" style="2" hidden="1" customWidth="1"/>
    <col min="1779" max="2023" width="5" style="2"/>
    <col min="2024" max="2024" width="2.109375" style="2" customWidth="1"/>
    <col min="2025" max="2025" width="24.88671875" style="2" customWidth="1"/>
    <col min="2026" max="2026" width="12.44140625" style="2" customWidth="1"/>
    <col min="2027" max="2027" width="12.109375" style="2" customWidth="1"/>
    <col min="2028" max="2028" width="48.109375" style="2" customWidth="1"/>
    <col min="2029" max="2029" width="4.5546875" style="2" customWidth="1"/>
    <col min="2030" max="2030" width="11.88671875" style="2" customWidth="1"/>
    <col min="2031" max="2031" width="0.5546875" style="2" customWidth="1"/>
    <col min="2032" max="2032" width="18.88671875" style="2" customWidth="1"/>
    <col min="2033" max="2034" width="0" style="2" hidden="1" customWidth="1"/>
    <col min="2035" max="2279" width="5" style="2"/>
    <col min="2280" max="2280" width="2.109375" style="2" customWidth="1"/>
    <col min="2281" max="2281" width="24.88671875" style="2" customWidth="1"/>
    <col min="2282" max="2282" width="12.44140625" style="2" customWidth="1"/>
    <col min="2283" max="2283" width="12.109375" style="2" customWidth="1"/>
    <col min="2284" max="2284" width="48.109375" style="2" customWidth="1"/>
    <col min="2285" max="2285" width="4.5546875" style="2" customWidth="1"/>
    <col min="2286" max="2286" width="11.88671875" style="2" customWidth="1"/>
    <col min="2287" max="2287" width="0.5546875" style="2" customWidth="1"/>
    <col min="2288" max="2288" width="18.88671875" style="2" customWidth="1"/>
    <col min="2289" max="2290" width="0" style="2" hidden="1" customWidth="1"/>
    <col min="2291" max="2535" width="5" style="2"/>
    <col min="2536" max="2536" width="2.109375" style="2" customWidth="1"/>
    <col min="2537" max="2537" width="24.88671875" style="2" customWidth="1"/>
    <col min="2538" max="2538" width="12.44140625" style="2" customWidth="1"/>
    <col min="2539" max="2539" width="12.109375" style="2" customWidth="1"/>
    <col min="2540" max="2540" width="48.109375" style="2" customWidth="1"/>
    <col min="2541" max="2541" width="4.5546875" style="2" customWidth="1"/>
    <col min="2542" max="2542" width="11.88671875" style="2" customWidth="1"/>
    <col min="2543" max="2543" width="0.5546875" style="2" customWidth="1"/>
    <col min="2544" max="2544" width="18.88671875" style="2" customWidth="1"/>
    <col min="2545" max="2546" width="0" style="2" hidden="1" customWidth="1"/>
    <col min="2547" max="2791" width="5" style="2"/>
    <col min="2792" max="2792" width="2.109375" style="2" customWidth="1"/>
    <col min="2793" max="2793" width="24.88671875" style="2" customWidth="1"/>
    <col min="2794" max="2794" width="12.44140625" style="2" customWidth="1"/>
    <col min="2795" max="2795" width="12.109375" style="2" customWidth="1"/>
    <col min="2796" max="2796" width="48.109375" style="2" customWidth="1"/>
    <col min="2797" max="2797" width="4.5546875" style="2" customWidth="1"/>
    <col min="2798" max="2798" width="11.88671875" style="2" customWidth="1"/>
    <col min="2799" max="2799" width="0.5546875" style="2" customWidth="1"/>
    <col min="2800" max="2800" width="18.88671875" style="2" customWidth="1"/>
    <col min="2801" max="2802" width="0" style="2" hidden="1" customWidth="1"/>
    <col min="2803" max="3047" width="5" style="2"/>
    <col min="3048" max="3048" width="2.109375" style="2" customWidth="1"/>
    <col min="3049" max="3049" width="24.88671875" style="2" customWidth="1"/>
    <col min="3050" max="3050" width="12.44140625" style="2" customWidth="1"/>
    <col min="3051" max="3051" width="12.109375" style="2" customWidth="1"/>
    <col min="3052" max="3052" width="48.109375" style="2" customWidth="1"/>
    <col min="3053" max="3053" width="4.5546875" style="2" customWidth="1"/>
    <col min="3054" max="3054" width="11.88671875" style="2" customWidth="1"/>
    <col min="3055" max="3055" width="0.5546875" style="2" customWidth="1"/>
    <col min="3056" max="3056" width="18.88671875" style="2" customWidth="1"/>
    <col min="3057" max="3058" width="0" style="2" hidden="1" customWidth="1"/>
    <col min="3059" max="3303" width="5" style="2"/>
    <col min="3304" max="3304" width="2.109375" style="2" customWidth="1"/>
    <col min="3305" max="3305" width="24.88671875" style="2" customWidth="1"/>
    <col min="3306" max="3306" width="12.44140625" style="2" customWidth="1"/>
    <col min="3307" max="3307" width="12.109375" style="2" customWidth="1"/>
    <col min="3308" max="3308" width="48.109375" style="2" customWidth="1"/>
    <col min="3309" max="3309" width="4.5546875" style="2" customWidth="1"/>
    <col min="3310" max="3310" width="11.88671875" style="2" customWidth="1"/>
    <col min="3311" max="3311" width="0.5546875" style="2" customWidth="1"/>
    <col min="3312" max="3312" width="18.88671875" style="2" customWidth="1"/>
    <col min="3313" max="3314" width="0" style="2" hidden="1" customWidth="1"/>
    <col min="3315" max="3559" width="5" style="2"/>
    <col min="3560" max="3560" width="2.109375" style="2" customWidth="1"/>
    <col min="3561" max="3561" width="24.88671875" style="2" customWidth="1"/>
    <col min="3562" max="3562" width="12.44140625" style="2" customWidth="1"/>
    <col min="3563" max="3563" width="12.109375" style="2" customWidth="1"/>
    <col min="3564" max="3564" width="48.109375" style="2" customWidth="1"/>
    <col min="3565" max="3565" width="4.5546875" style="2" customWidth="1"/>
    <col min="3566" max="3566" width="11.88671875" style="2" customWidth="1"/>
    <col min="3567" max="3567" width="0.5546875" style="2" customWidth="1"/>
    <col min="3568" max="3568" width="18.88671875" style="2" customWidth="1"/>
    <col min="3569" max="3570" width="0" style="2" hidden="1" customWidth="1"/>
    <col min="3571" max="3815" width="5" style="2"/>
    <col min="3816" max="3816" width="2.109375" style="2" customWidth="1"/>
    <col min="3817" max="3817" width="24.88671875" style="2" customWidth="1"/>
    <col min="3818" max="3818" width="12.44140625" style="2" customWidth="1"/>
    <col min="3819" max="3819" width="12.109375" style="2" customWidth="1"/>
    <col min="3820" max="3820" width="48.109375" style="2" customWidth="1"/>
    <col min="3821" max="3821" width="4.5546875" style="2" customWidth="1"/>
    <col min="3822" max="3822" width="11.88671875" style="2" customWidth="1"/>
    <col min="3823" max="3823" width="0.5546875" style="2" customWidth="1"/>
    <col min="3824" max="3824" width="18.88671875" style="2" customWidth="1"/>
    <col min="3825" max="3826" width="0" style="2" hidden="1" customWidth="1"/>
    <col min="3827" max="4071" width="5" style="2"/>
    <col min="4072" max="4072" width="2.109375" style="2" customWidth="1"/>
    <col min="4073" max="4073" width="24.88671875" style="2" customWidth="1"/>
    <col min="4074" max="4074" width="12.44140625" style="2" customWidth="1"/>
    <col min="4075" max="4075" width="12.109375" style="2" customWidth="1"/>
    <col min="4076" max="4076" width="48.109375" style="2" customWidth="1"/>
    <col min="4077" max="4077" width="4.5546875" style="2" customWidth="1"/>
    <col min="4078" max="4078" width="11.88671875" style="2" customWidth="1"/>
    <col min="4079" max="4079" width="0.5546875" style="2" customWidth="1"/>
    <col min="4080" max="4080" width="18.88671875" style="2" customWidth="1"/>
    <col min="4081" max="4082" width="0" style="2" hidden="1" customWidth="1"/>
    <col min="4083" max="4327" width="5" style="2"/>
    <col min="4328" max="4328" width="2.109375" style="2" customWidth="1"/>
    <col min="4329" max="4329" width="24.88671875" style="2" customWidth="1"/>
    <col min="4330" max="4330" width="12.44140625" style="2" customWidth="1"/>
    <col min="4331" max="4331" width="12.109375" style="2" customWidth="1"/>
    <col min="4332" max="4332" width="48.109375" style="2" customWidth="1"/>
    <col min="4333" max="4333" width="4.5546875" style="2" customWidth="1"/>
    <col min="4334" max="4334" width="11.88671875" style="2" customWidth="1"/>
    <col min="4335" max="4335" width="0.5546875" style="2" customWidth="1"/>
    <col min="4336" max="4336" width="18.88671875" style="2" customWidth="1"/>
    <col min="4337" max="4338" width="0" style="2" hidden="1" customWidth="1"/>
    <col min="4339" max="4583" width="5" style="2"/>
    <col min="4584" max="4584" width="2.109375" style="2" customWidth="1"/>
    <col min="4585" max="4585" width="24.88671875" style="2" customWidth="1"/>
    <col min="4586" max="4586" width="12.44140625" style="2" customWidth="1"/>
    <col min="4587" max="4587" width="12.109375" style="2" customWidth="1"/>
    <col min="4588" max="4588" width="48.109375" style="2" customWidth="1"/>
    <col min="4589" max="4589" width="4.5546875" style="2" customWidth="1"/>
    <col min="4590" max="4590" width="11.88671875" style="2" customWidth="1"/>
    <col min="4591" max="4591" width="0.5546875" style="2" customWidth="1"/>
    <col min="4592" max="4592" width="18.88671875" style="2" customWidth="1"/>
    <col min="4593" max="4594" width="0" style="2" hidden="1" customWidth="1"/>
    <col min="4595" max="4839" width="5" style="2"/>
    <col min="4840" max="4840" width="2.109375" style="2" customWidth="1"/>
    <col min="4841" max="4841" width="24.88671875" style="2" customWidth="1"/>
    <col min="4842" max="4842" width="12.44140625" style="2" customWidth="1"/>
    <col min="4843" max="4843" width="12.109375" style="2" customWidth="1"/>
    <col min="4844" max="4844" width="48.109375" style="2" customWidth="1"/>
    <col min="4845" max="4845" width="4.5546875" style="2" customWidth="1"/>
    <col min="4846" max="4846" width="11.88671875" style="2" customWidth="1"/>
    <col min="4847" max="4847" width="0.5546875" style="2" customWidth="1"/>
    <col min="4848" max="4848" width="18.88671875" style="2" customWidth="1"/>
    <col min="4849" max="4850" width="0" style="2" hidden="1" customWidth="1"/>
    <col min="4851" max="5095" width="5" style="2"/>
    <col min="5096" max="5096" width="2.109375" style="2" customWidth="1"/>
    <col min="5097" max="5097" width="24.88671875" style="2" customWidth="1"/>
    <col min="5098" max="5098" width="12.44140625" style="2" customWidth="1"/>
    <col min="5099" max="5099" width="12.109375" style="2" customWidth="1"/>
    <col min="5100" max="5100" width="48.109375" style="2" customWidth="1"/>
    <col min="5101" max="5101" width="4.5546875" style="2" customWidth="1"/>
    <col min="5102" max="5102" width="11.88671875" style="2" customWidth="1"/>
    <col min="5103" max="5103" width="0.5546875" style="2" customWidth="1"/>
    <col min="5104" max="5104" width="18.88671875" style="2" customWidth="1"/>
    <col min="5105" max="5106" width="0" style="2" hidden="1" customWidth="1"/>
    <col min="5107" max="5351" width="5" style="2"/>
    <col min="5352" max="5352" width="2.109375" style="2" customWidth="1"/>
    <col min="5353" max="5353" width="24.88671875" style="2" customWidth="1"/>
    <col min="5354" max="5354" width="12.44140625" style="2" customWidth="1"/>
    <col min="5355" max="5355" width="12.109375" style="2" customWidth="1"/>
    <col min="5356" max="5356" width="48.109375" style="2" customWidth="1"/>
    <col min="5357" max="5357" width="4.5546875" style="2" customWidth="1"/>
    <col min="5358" max="5358" width="11.88671875" style="2" customWidth="1"/>
    <col min="5359" max="5359" width="0.5546875" style="2" customWidth="1"/>
    <col min="5360" max="5360" width="18.88671875" style="2" customWidth="1"/>
    <col min="5361" max="5362" width="0" style="2" hidden="1" customWidth="1"/>
    <col min="5363" max="5607" width="5" style="2"/>
    <col min="5608" max="5608" width="2.109375" style="2" customWidth="1"/>
    <col min="5609" max="5609" width="24.88671875" style="2" customWidth="1"/>
    <col min="5610" max="5610" width="12.44140625" style="2" customWidth="1"/>
    <col min="5611" max="5611" width="12.109375" style="2" customWidth="1"/>
    <col min="5612" max="5612" width="48.109375" style="2" customWidth="1"/>
    <col min="5613" max="5613" width="4.5546875" style="2" customWidth="1"/>
    <col min="5614" max="5614" width="11.88671875" style="2" customWidth="1"/>
    <col min="5615" max="5615" width="0.5546875" style="2" customWidth="1"/>
    <col min="5616" max="5616" width="18.88671875" style="2" customWidth="1"/>
    <col min="5617" max="5618" width="0" style="2" hidden="1" customWidth="1"/>
    <col min="5619" max="5863" width="5" style="2"/>
    <col min="5864" max="5864" width="2.109375" style="2" customWidth="1"/>
    <col min="5865" max="5865" width="24.88671875" style="2" customWidth="1"/>
    <col min="5866" max="5866" width="12.44140625" style="2" customWidth="1"/>
    <col min="5867" max="5867" width="12.109375" style="2" customWidth="1"/>
    <col min="5868" max="5868" width="48.109375" style="2" customWidth="1"/>
    <col min="5869" max="5869" width="4.5546875" style="2" customWidth="1"/>
    <col min="5870" max="5870" width="11.88671875" style="2" customWidth="1"/>
    <col min="5871" max="5871" width="0.5546875" style="2" customWidth="1"/>
    <col min="5872" max="5872" width="18.88671875" style="2" customWidth="1"/>
    <col min="5873" max="5874" width="0" style="2" hidden="1" customWidth="1"/>
    <col min="5875" max="6119" width="5" style="2"/>
    <col min="6120" max="6120" width="2.109375" style="2" customWidth="1"/>
    <col min="6121" max="6121" width="24.88671875" style="2" customWidth="1"/>
    <col min="6122" max="6122" width="12.44140625" style="2" customWidth="1"/>
    <col min="6123" max="6123" width="12.109375" style="2" customWidth="1"/>
    <col min="6124" max="6124" width="48.109375" style="2" customWidth="1"/>
    <col min="6125" max="6125" width="4.5546875" style="2" customWidth="1"/>
    <col min="6126" max="6126" width="11.88671875" style="2" customWidth="1"/>
    <col min="6127" max="6127" width="0.5546875" style="2" customWidth="1"/>
    <col min="6128" max="6128" width="18.88671875" style="2" customWidth="1"/>
    <col min="6129" max="6130" width="0" style="2" hidden="1" customWidth="1"/>
    <col min="6131" max="6375" width="5" style="2"/>
    <col min="6376" max="6376" width="2.109375" style="2" customWidth="1"/>
    <col min="6377" max="6377" width="24.88671875" style="2" customWidth="1"/>
    <col min="6378" max="6378" width="12.44140625" style="2" customWidth="1"/>
    <col min="6379" max="6379" width="12.109375" style="2" customWidth="1"/>
    <col min="6380" max="6380" width="48.109375" style="2" customWidth="1"/>
    <col min="6381" max="6381" width="4.5546875" style="2" customWidth="1"/>
    <col min="6382" max="6382" width="11.88671875" style="2" customWidth="1"/>
    <col min="6383" max="6383" width="0.5546875" style="2" customWidth="1"/>
    <col min="6384" max="6384" width="18.88671875" style="2" customWidth="1"/>
    <col min="6385" max="6386" width="0" style="2" hidden="1" customWidth="1"/>
    <col min="6387" max="6631" width="5" style="2"/>
    <col min="6632" max="6632" width="2.109375" style="2" customWidth="1"/>
    <col min="6633" max="6633" width="24.88671875" style="2" customWidth="1"/>
    <col min="6634" max="6634" width="12.44140625" style="2" customWidth="1"/>
    <col min="6635" max="6635" width="12.109375" style="2" customWidth="1"/>
    <col min="6636" max="6636" width="48.109375" style="2" customWidth="1"/>
    <col min="6637" max="6637" width="4.5546875" style="2" customWidth="1"/>
    <col min="6638" max="6638" width="11.88671875" style="2" customWidth="1"/>
    <col min="6639" max="6639" width="0.5546875" style="2" customWidth="1"/>
    <col min="6640" max="6640" width="18.88671875" style="2" customWidth="1"/>
    <col min="6641" max="6642" width="0" style="2" hidden="1" customWidth="1"/>
    <col min="6643" max="6887" width="5" style="2"/>
    <col min="6888" max="6888" width="2.109375" style="2" customWidth="1"/>
    <col min="6889" max="6889" width="24.88671875" style="2" customWidth="1"/>
    <col min="6890" max="6890" width="12.44140625" style="2" customWidth="1"/>
    <col min="6891" max="6891" width="12.109375" style="2" customWidth="1"/>
    <col min="6892" max="6892" width="48.109375" style="2" customWidth="1"/>
    <col min="6893" max="6893" width="4.5546875" style="2" customWidth="1"/>
    <col min="6894" max="6894" width="11.88671875" style="2" customWidth="1"/>
    <col min="6895" max="6895" width="0.5546875" style="2" customWidth="1"/>
    <col min="6896" max="6896" width="18.88671875" style="2" customWidth="1"/>
    <col min="6897" max="6898" width="0" style="2" hidden="1" customWidth="1"/>
    <col min="6899" max="7143" width="5" style="2"/>
    <col min="7144" max="7144" width="2.109375" style="2" customWidth="1"/>
    <col min="7145" max="7145" width="24.88671875" style="2" customWidth="1"/>
    <col min="7146" max="7146" width="12.44140625" style="2" customWidth="1"/>
    <col min="7147" max="7147" width="12.109375" style="2" customWidth="1"/>
    <col min="7148" max="7148" width="48.109375" style="2" customWidth="1"/>
    <col min="7149" max="7149" width="4.5546875" style="2" customWidth="1"/>
    <col min="7150" max="7150" width="11.88671875" style="2" customWidth="1"/>
    <col min="7151" max="7151" width="0.5546875" style="2" customWidth="1"/>
    <col min="7152" max="7152" width="18.88671875" style="2" customWidth="1"/>
    <col min="7153" max="7154" width="0" style="2" hidden="1" customWidth="1"/>
    <col min="7155" max="7399" width="5" style="2"/>
    <col min="7400" max="7400" width="2.109375" style="2" customWidth="1"/>
    <col min="7401" max="7401" width="24.88671875" style="2" customWidth="1"/>
    <col min="7402" max="7402" width="12.44140625" style="2" customWidth="1"/>
    <col min="7403" max="7403" width="12.109375" style="2" customWidth="1"/>
    <col min="7404" max="7404" width="48.109375" style="2" customWidth="1"/>
    <col min="7405" max="7405" width="4.5546875" style="2" customWidth="1"/>
    <col min="7406" max="7406" width="11.88671875" style="2" customWidth="1"/>
    <col min="7407" max="7407" width="0.5546875" style="2" customWidth="1"/>
    <col min="7408" max="7408" width="18.88671875" style="2" customWidth="1"/>
    <col min="7409" max="7410" width="0" style="2" hidden="1" customWidth="1"/>
    <col min="7411" max="7655" width="5" style="2"/>
    <col min="7656" max="7656" width="2.109375" style="2" customWidth="1"/>
    <col min="7657" max="7657" width="24.88671875" style="2" customWidth="1"/>
    <col min="7658" max="7658" width="12.44140625" style="2" customWidth="1"/>
    <col min="7659" max="7659" width="12.109375" style="2" customWidth="1"/>
    <col min="7660" max="7660" width="48.109375" style="2" customWidth="1"/>
    <col min="7661" max="7661" width="4.5546875" style="2" customWidth="1"/>
    <col min="7662" max="7662" width="11.88671875" style="2" customWidth="1"/>
    <col min="7663" max="7663" width="0.5546875" style="2" customWidth="1"/>
    <col min="7664" max="7664" width="18.88671875" style="2" customWidth="1"/>
    <col min="7665" max="7666" width="0" style="2" hidden="1" customWidth="1"/>
    <col min="7667" max="7911" width="5" style="2"/>
    <col min="7912" max="7912" width="2.109375" style="2" customWidth="1"/>
    <col min="7913" max="7913" width="24.88671875" style="2" customWidth="1"/>
    <col min="7914" max="7914" width="12.44140625" style="2" customWidth="1"/>
    <col min="7915" max="7915" width="12.109375" style="2" customWidth="1"/>
    <col min="7916" max="7916" width="48.109375" style="2" customWidth="1"/>
    <col min="7917" max="7917" width="4.5546875" style="2" customWidth="1"/>
    <col min="7918" max="7918" width="11.88671875" style="2" customWidth="1"/>
    <col min="7919" max="7919" width="0.5546875" style="2" customWidth="1"/>
    <col min="7920" max="7920" width="18.88671875" style="2" customWidth="1"/>
    <col min="7921" max="7922" width="0" style="2" hidden="1" customWidth="1"/>
    <col min="7923" max="8167" width="5" style="2"/>
    <col min="8168" max="8168" width="2.109375" style="2" customWidth="1"/>
    <col min="8169" max="8169" width="24.88671875" style="2" customWidth="1"/>
    <col min="8170" max="8170" width="12.44140625" style="2" customWidth="1"/>
    <col min="8171" max="8171" width="12.109375" style="2" customWidth="1"/>
    <col min="8172" max="8172" width="48.109375" style="2" customWidth="1"/>
    <col min="8173" max="8173" width="4.5546875" style="2" customWidth="1"/>
    <col min="8174" max="8174" width="11.88671875" style="2" customWidth="1"/>
    <col min="8175" max="8175" width="0.5546875" style="2" customWidth="1"/>
    <col min="8176" max="8176" width="18.88671875" style="2" customWidth="1"/>
    <col min="8177" max="8178" width="0" style="2" hidden="1" customWidth="1"/>
    <col min="8179" max="8423" width="5" style="2"/>
    <col min="8424" max="8424" width="2.109375" style="2" customWidth="1"/>
    <col min="8425" max="8425" width="24.88671875" style="2" customWidth="1"/>
    <col min="8426" max="8426" width="12.44140625" style="2" customWidth="1"/>
    <col min="8427" max="8427" width="12.109375" style="2" customWidth="1"/>
    <col min="8428" max="8428" width="48.109375" style="2" customWidth="1"/>
    <col min="8429" max="8429" width="4.5546875" style="2" customWidth="1"/>
    <col min="8430" max="8430" width="11.88671875" style="2" customWidth="1"/>
    <col min="8431" max="8431" width="0.5546875" style="2" customWidth="1"/>
    <col min="8432" max="8432" width="18.88671875" style="2" customWidth="1"/>
    <col min="8433" max="8434" width="0" style="2" hidden="1" customWidth="1"/>
    <col min="8435" max="8679" width="5" style="2"/>
    <col min="8680" max="8680" width="2.109375" style="2" customWidth="1"/>
    <col min="8681" max="8681" width="24.88671875" style="2" customWidth="1"/>
    <col min="8682" max="8682" width="12.44140625" style="2" customWidth="1"/>
    <col min="8683" max="8683" width="12.109375" style="2" customWidth="1"/>
    <col min="8684" max="8684" width="48.109375" style="2" customWidth="1"/>
    <col min="8685" max="8685" width="4.5546875" style="2" customWidth="1"/>
    <col min="8686" max="8686" width="11.88671875" style="2" customWidth="1"/>
    <col min="8687" max="8687" width="0.5546875" style="2" customWidth="1"/>
    <col min="8688" max="8688" width="18.88671875" style="2" customWidth="1"/>
    <col min="8689" max="8690" width="0" style="2" hidden="1" customWidth="1"/>
    <col min="8691" max="8935" width="5" style="2"/>
    <col min="8936" max="8936" width="2.109375" style="2" customWidth="1"/>
    <col min="8937" max="8937" width="24.88671875" style="2" customWidth="1"/>
    <col min="8938" max="8938" width="12.44140625" style="2" customWidth="1"/>
    <col min="8939" max="8939" width="12.109375" style="2" customWidth="1"/>
    <col min="8940" max="8940" width="48.109375" style="2" customWidth="1"/>
    <col min="8941" max="8941" width="4.5546875" style="2" customWidth="1"/>
    <col min="8942" max="8942" width="11.88671875" style="2" customWidth="1"/>
    <col min="8943" max="8943" width="0.5546875" style="2" customWidth="1"/>
    <col min="8944" max="8944" width="18.88671875" style="2" customWidth="1"/>
    <col min="8945" max="8946" width="0" style="2" hidden="1" customWidth="1"/>
    <col min="8947" max="9191" width="5" style="2"/>
    <col min="9192" max="9192" width="2.109375" style="2" customWidth="1"/>
    <col min="9193" max="9193" width="24.88671875" style="2" customWidth="1"/>
    <col min="9194" max="9194" width="12.44140625" style="2" customWidth="1"/>
    <col min="9195" max="9195" width="12.109375" style="2" customWidth="1"/>
    <col min="9196" max="9196" width="48.109375" style="2" customWidth="1"/>
    <col min="9197" max="9197" width="4.5546875" style="2" customWidth="1"/>
    <col min="9198" max="9198" width="11.88671875" style="2" customWidth="1"/>
    <col min="9199" max="9199" width="0.5546875" style="2" customWidth="1"/>
    <col min="9200" max="9200" width="18.88671875" style="2" customWidth="1"/>
    <col min="9201" max="9202" width="0" style="2" hidden="1" customWidth="1"/>
    <col min="9203" max="9447" width="5" style="2"/>
    <col min="9448" max="9448" width="2.109375" style="2" customWidth="1"/>
    <col min="9449" max="9449" width="24.88671875" style="2" customWidth="1"/>
    <col min="9450" max="9450" width="12.44140625" style="2" customWidth="1"/>
    <col min="9451" max="9451" width="12.109375" style="2" customWidth="1"/>
    <col min="9452" max="9452" width="48.109375" style="2" customWidth="1"/>
    <col min="9453" max="9453" width="4.5546875" style="2" customWidth="1"/>
    <col min="9454" max="9454" width="11.88671875" style="2" customWidth="1"/>
    <col min="9455" max="9455" width="0.5546875" style="2" customWidth="1"/>
    <col min="9456" max="9456" width="18.88671875" style="2" customWidth="1"/>
    <col min="9457" max="9458" width="0" style="2" hidden="1" customWidth="1"/>
    <col min="9459" max="9703" width="5" style="2"/>
    <col min="9704" max="9704" width="2.109375" style="2" customWidth="1"/>
    <col min="9705" max="9705" width="24.88671875" style="2" customWidth="1"/>
    <col min="9706" max="9706" width="12.44140625" style="2" customWidth="1"/>
    <col min="9707" max="9707" width="12.109375" style="2" customWidth="1"/>
    <col min="9708" max="9708" width="48.109375" style="2" customWidth="1"/>
    <col min="9709" max="9709" width="4.5546875" style="2" customWidth="1"/>
    <col min="9710" max="9710" width="11.88671875" style="2" customWidth="1"/>
    <col min="9711" max="9711" width="0.5546875" style="2" customWidth="1"/>
    <col min="9712" max="9712" width="18.88671875" style="2" customWidth="1"/>
    <col min="9713" max="9714" width="0" style="2" hidden="1" customWidth="1"/>
    <col min="9715" max="9959" width="5" style="2"/>
    <col min="9960" max="9960" width="2.109375" style="2" customWidth="1"/>
    <col min="9961" max="9961" width="24.88671875" style="2" customWidth="1"/>
    <col min="9962" max="9962" width="12.44140625" style="2" customWidth="1"/>
    <col min="9963" max="9963" width="12.109375" style="2" customWidth="1"/>
    <col min="9964" max="9964" width="48.109375" style="2" customWidth="1"/>
    <col min="9965" max="9965" width="4.5546875" style="2" customWidth="1"/>
    <col min="9966" max="9966" width="11.88671875" style="2" customWidth="1"/>
    <col min="9967" max="9967" width="0.5546875" style="2" customWidth="1"/>
    <col min="9968" max="9968" width="18.88671875" style="2" customWidth="1"/>
    <col min="9969" max="9970" width="0" style="2" hidden="1" customWidth="1"/>
    <col min="9971" max="10215" width="5" style="2"/>
    <col min="10216" max="10216" width="2.109375" style="2" customWidth="1"/>
    <col min="10217" max="10217" width="24.88671875" style="2" customWidth="1"/>
    <col min="10218" max="10218" width="12.44140625" style="2" customWidth="1"/>
    <col min="10219" max="10219" width="12.109375" style="2" customWidth="1"/>
    <col min="10220" max="10220" width="48.109375" style="2" customWidth="1"/>
    <col min="10221" max="10221" width="4.5546875" style="2" customWidth="1"/>
    <col min="10222" max="10222" width="11.88671875" style="2" customWidth="1"/>
    <col min="10223" max="10223" width="0.5546875" style="2" customWidth="1"/>
    <col min="10224" max="10224" width="18.88671875" style="2" customWidth="1"/>
    <col min="10225" max="10226" width="0" style="2" hidden="1" customWidth="1"/>
    <col min="10227" max="10471" width="5" style="2"/>
    <col min="10472" max="10472" width="2.109375" style="2" customWidth="1"/>
    <col min="10473" max="10473" width="24.88671875" style="2" customWidth="1"/>
    <col min="10474" max="10474" width="12.44140625" style="2" customWidth="1"/>
    <col min="10475" max="10475" width="12.109375" style="2" customWidth="1"/>
    <col min="10476" max="10476" width="48.109375" style="2" customWidth="1"/>
    <col min="10477" max="10477" width="4.5546875" style="2" customWidth="1"/>
    <col min="10478" max="10478" width="11.88671875" style="2" customWidth="1"/>
    <col min="10479" max="10479" width="0.5546875" style="2" customWidth="1"/>
    <col min="10480" max="10480" width="18.88671875" style="2" customWidth="1"/>
    <col min="10481" max="10482" width="0" style="2" hidden="1" customWidth="1"/>
    <col min="10483" max="10727" width="5" style="2"/>
    <col min="10728" max="10728" width="2.109375" style="2" customWidth="1"/>
    <col min="10729" max="10729" width="24.88671875" style="2" customWidth="1"/>
    <col min="10730" max="10730" width="12.44140625" style="2" customWidth="1"/>
    <col min="10731" max="10731" width="12.109375" style="2" customWidth="1"/>
    <col min="10732" max="10732" width="48.109375" style="2" customWidth="1"/>
    <col min="10733" max="10733" width="4.5546875" style="2" customWidth="1"/>
    <col min="10734" max="10734" width="11.88671875" style="2" customWidth="1"/>
    <col min="10735" max="10735" width="0.5546875" style="2" customWidth="1"/>
    <col min="10736" max="10736" width="18.88671875" style="2" customWidth="1"/>
    <col min="10737" max="10738" width="0" style="2" hidden="1" customWidth="1"/>
    <col min="10739" max="10983" width="5" style="2"/>
    <col min="10984" max="10984" width="2.109375" style="2" customWidth="1"/>
    <col min="10985" max="10985" width="24.88671875" style="2" customWidth="1"/>
    <col min="10986" max="10986" width="12.44140625" style="2" customWidth="1"/>
    <col min="10987" max="10987" width="12.109375" style="2" customWidth="1"/>
    <col min="10988" max="10988" width="48.109375" style="2" customWidth="1"/>
    <col min="10989" max="10989" width="4.5546875" style="2" customWidth="1"/>
    <col min="10990" max="10990" width="11.88671875" style="2" customWidth="1"/>
    <col min="10991" max="10991" width="0.5546875" style="2" customWidth="1"/>
    <col min="10992" max="10992" width="18.88671875" style="2" customWidth="1"/>
    <col min="10993" max="10994" width="0" style="2" hidden="1" customWidth="1"/>
    <col min="10995" max="11239" width="5" style="2"/>
    <col min="11240" max="11240" width="2.109375" style="2" customWidth="1"/>
    <col min="11241" max="11241" width="24.88671875" style="2" customWidth="1"/>
    <col min="11242" max="11242" width="12.44140625" style="2" customWidth="1"/>
    <col min="11243" max="11243" width="12.109375" style="2" customWidth="1"/>
    <col min="11244" max="11244" width="48.109375" style="2" customWidth="1"/>
    <col min="11245" max="11245" width="4.5546875" style="2" customWidth="1"/>
    <col min="11246" max="11246" width="11.88671875" style="2" customWidth="1"/>
    <col min="11247" max="11247" width="0.5546875" style="2" customWidth="1"/>
    <col min="11248" max="11248" width="18.88671875" style="2" customWidth="1"/>
    <col min="11249" max="11250" width="0" style="2" hidden="1" customWidth="1"/>
    <col min="11251" max="11495" width="5" style="2"/>
    <col min="11496" max="11496" width="2.109375" style="2" customWidth="1"/>
    <col min="11497" max="11497" width="24.88671875" style="2" customWidth="1"/>
    <col min="11498" max="11498" width="12.44140625" style="2" customWidth="1"/>
    <col min="11499" max="11499" width="12.109375" style="2" customWidth="1"/>
    <col min="11500" max="11500" width="48.109375" style="2" customWidth="1"/>
    <col min="11501" max="11501" width="4.5546875" style="2" customWidth="1"/>
    <col min="11502" max="11502" width="11.88671875" style="2" customWidth="1"/>
    <col min="11503" max="11503" width="0.5546875" style="2" customWidth="1"/>
    <col min="11504" max="11504" width="18.88671875" style="2" customWidth="1"/>
    <col min="11505" max="11506" width="0" style="2" hidden="1" customWidth="1"/>
    <col min="11507" max="11751" width="5" style="2"/>
    <col min="11752" max="11752" width="2.109375" style="2" customWidth="1"/>
    <col min="11753" max="11753" width="24.88671875" style="2" customWidth="1"/>
    <col min="11754" max="11754" width="12.44140625" style="2" customWidth="1"/>
    <col min="11755" max="11755" width="12.109375" style="2" customWidth="1"/>
    <col min="11756" max="11756" width="48.109375" style="2" customWidth="1"/>
    <col min="11757" max="11757" width="4.5546875" style="2" customWidth="1"/>
    <col min="11758" max="11758" width="11.88671875" style="2" customWidth="1"/>
    <col min="11759" max="11759" width="0.5546875" style="2" customWidth="1"/>
    <col min="11760" max="11760" width="18.88671875" style="2" customWidth="1"/>
    <col min="11761" max="11762" width="0" style="2" hidden="1" customWidth="1"/>
    <col min="11763" max="12007" width="5" style="2"/>
    <col min="12008" max="12008" width="2.109375" style="2" customWidth="1"/>
    <col min="12009" max="12009" width="24.88671875" style="2" customWidth="1"/>
    <col min="12010" max="12010" width="12.44140625" style="2" customWidth="1"/>
    <col min="12011" max="12011" width="12.109375" style="2" customWidth="1"/>
    <col min="12012" max="12012" width="48.109375" style="2" customWidth="1"/>
    <col min="12013" max="12013" width="4.5546875" style="2" customWidth="1"/>
    <col min="12014" max="12014" width="11.88671875" style="2" customWidth="1"/>
    <col min="12015" max="12015" width="0.5546875" style="2" customWidth="1"/>
    <col min="12016" max="12016" width="18.88671875" style="2" customWidth="1"/>
    <col min="12017" max="12018" width="0" style="2" hidden="1" customWidth="1"/>
    <col min="12019" max="12263" width="5" style="2"/>
    <col min="12264" max="12264" width="2.109375" style="2" customWidth="1"/>
    <col min="12265" max="12265" width="24.88671875" style="2" customWidth="1"/>
    <col min="12266" max="12266" width="12.44140625" style="2" customWidth="1"/>
    <col min="12267" max="12267" width="12.109375" style="2" customWidth="1"/>
    <col min="12268" max="12268" width="48.109375" style="2" customWidth="1"/>
    <col min="12269" max="12269" width="4.5546875" style="2" customWidth="1"/>
    <col min="12270" max="12270" width="11.88671875" style="2" customWidth="1"/>
    <col min="12271" max="12271" width="0.5546875" style="2" customWidth="1"/>
    <col min="12272" max="12272" width="18.88671875" style="2" customWidth="1"/>
    <col min="12273" max="12274" width="0" style="2" hidden="1" customWidth="1"/>
    <col min="12275" max="12519" width="5" style="2"/>
    <col min="12520" max="12520" width="2.109375" style="2" customWidth="1"/>
    <col min="12521" max="12521" width="24.88671875" style="2" customWidth="1"/>
    <col min="12522" max="12522" width="12.44140625" style="2" customWidth="1"/>
    <col min="12523" max="12523" width="12.109375" style="2" customWidth="1"/>
    <col min="12524" max="12524" width="48.109375" style="2" customWidth="1"/>
    <col min="12525" max="12525" width="4.5546875" style="2" customWidth="1"/>
    <col min="12526" max="12526" width="11.88671875" style="2" customWidth="1"/>
    <col min="12527" max="12527" width="0.5546875" style="2" customWidth="1"/>
    <col min="12528" max="12528" width="18.88671875" style="2" customWidth="1"/>
    <col min="12529" max="12530" width="0" style="2" hidden="1" customWidth="1"/>
    <col min="12531" max="12775" width="5" style="2"/>
    <col min="12776" max="12776" width="2.109375" style="2" customWidth="1"/>
    <col min="12777" max="12777" width="24.88671875" style="2" customWidth="1"/>
    <col min="12778" max="12778" width="12.44140625" style="2" customWidth="1"/>
    <col min="12779" max="12779" width="12.109375" style="2" customWidth="1"/>
    <col min="12780" max="12780" width="48.109375" style="2" customWidth="1"/>
    <col min="12781" max="12781" width="4.5546875" style="2" customWidth="1"/>
    <col min="12782" max="12782" width="11.88671875" style="2" customWidth="1"/>
    <col min="12783" max="12783" width="0.5546875" style="2" customWidth="1"/>
    <col min="12784" max="12784" width="18.88671875" style="2" customWidth="1"/>
    <col min="12785" max="12786" width="0" style="2" hidden="1" customWidth="1"/>
    <col min="12787" max="13031" width="5" style="2"/>
    <col min="13032" max="13032" width="2.109375" style="2" customWidth="1"/>
    <col min="13033" max="13033" width="24.88671875" style="2" customWidth="1"/>
    <col min="13034" max="13034" width="12.44140625" style="2" customWidth="1"/>
    <col min="13035" max="13035" width="12.109375" style="2" customWidth="1"/>
    <col min="13036" max="13036" width="48.109375" style="2" customWidth="1"/>
    <col min="13037" max="13037" width="4.5546875" style="2" customWidth="1"/>
    <col min="13038" max="13038" width="11.88671875" style="2" customWidth="1"/>
    <col min="13039" max="13039" width="0.5546875" style="2" customWidth="1"/>
    <col min="13040" max="13040" width="18.88671875" style="2" customWidth="1"/>
    <col min="13041" max="13042" width="0" style="2" hidden="1" customWidth="1"/>
    <col min="13043" max="13287" width="5" style="2"/>
    <col min="13288" max="13288" width="2.109375" style="2" customWidth="1"/>
    <col min="13289" max="13289" width="24.88671875" style="2" customWidth="1"/>
    <col min="13290" max="13290" width="12.44140625" style="2" customWidth="1"/>
    <col min="13291" max="13291" width="12.109375" style="2" customWidth="1"/>
    <col min="13292" max="13292" width="48.109375" style="2" customWidth="1"/>
    <col min="13293" max="13293" width="4.5546875" style="2" customWidth="1"/>
    <col min="13294" max="13294" width="11.88671875" style="2" customWidth="1"/>
    <col min="13295" max="13295" width="0.5546875" style="2" customWidth="1"/>
    <col min="13296" max="13296" width="18.88671875" style="2" customWidth="1"/>
    <col min="13297" max="13298" width="0" style="2" hidden="1" customWidth="1"/>
    <col min="13299" max="13543" width="5" style="2"/>
    <col min="13544" max="13544" width="2.109375" style="2" customWidth="1"/>
    <col min="13545" max="13545" width="24.88671875" style="2" customWidth="1"/>
    <col min="13546" max="13546" width="12.44140625" style="2" customWidth="1"/>
    <col min="13547" max="13547" width="12.109375" style="2" customWidth="1"/>
    <col min="13548" max="13548" width="48.109375" style="2" customWidth="1"/>
    <col min="13549" max="13549" width="4.5546875" style="2" customWidth="1"/>
    <col min="13550" max="13550" width="11.88671875" style="2" customWidth="1"/>
    <col min="13551" max="13551" width="0.5546875" style="2" customWidth="1"/>
    <col min="13552" max="13552" width="18.88671875" style="2" customWidth="1"/>
    <col min="13553" max="13554" width="0" style="2" hidden="1" customWidth="1"/>
    <col min="13555" max="13799" width="5" style="2"/>
    <col min="13800" max="13800" width="2.109375" style="2" customWidth="1"/>
    <col min="13801" max="13801" width="24.88671875" style="2" customWidth="1"/>
    <col min="13802" max="13802" width="12.44140625" style="2" customWidth="1"/>
    <col min="13803" max="13803" width="12.109375" style="2" customWidth="1"/>
    <col min="13804" max="13804" width="48.109375" style="2" customWidth="1"/>
    <col min="13805" max="13805" width="4.5546875" style="2" customWidth="1"/>
    <col min="13806" max="13806" width="11.88671875" style="2" customWidth="1"/>
    <col min="13807" max="13807" width="0.5546875" style="2" customWidth="1"/>
    <col min="13808" max="13808" width="18.88671875" style="2" customWidth="1"/>
    <col min="13809" max="13810" width="0" style="2" hidden="1" customWidth="1"/>
    <col min="13811" max="14055" width="5" style="2"/>
    <col min="14056" max="14056" width="2.109375" style="2" customWidth="1"/>
    <col min="14057" max="14057" width="24.88671875" style="2" customWidth="1"/>
    <col min="14058" max="14058" width="12.44140625" style="2" customWidth="1"/>
    <col min="14059" max="14059" width="12.109375" style="2" customWidth="1"/>
    <col min="14060" max="14060" width="48.109375" style="2" customWidth="1"/>
    <col min="14061" max="14061" width="4.5546875" style="2" customWidth="1"/>
    <col min="14062" max="14062" width="11.88671875" style="2" customWidth="1"/>
    <col min="14063" max="14063" width="0.5546875" style="2" customWidth="1"/>
    <col min="14064" max="14064" width="18.88671875" style="2" customWidth="1"/>
    <col min="14065" max="14066" width="0" style="2" hidden="1" customWidth="1"/>
    <col min="14067" max="14311" width="5" style="2"/>
    <col min="14312" max="14312" width="2.109375" style="2" customWidth="1"/>
    <col min="14313" max="14313" width="24.88671875" style="2" customWidth="1"/>
    <col min="14314" max="14314" width="12.44140625" style="2" customWidth="1"/>
    <col min="14315" max="14315" width="12.109375" style="2" customWidth="1"/>
    <col min="14316" max="14316" width="48.109375" style="2" customWidth="1"/>
    <col min="14317" max="14317" width="4.5546875" style="2" customWidth="1"/>
    <col min="14318" max="14318" width="11.88671875" style="2" customWidth="1"/>
    <col min="14319" max="14319" width="0.5546875" style="2" customWidth="1"/>
    <col min="14320" max="14320" width="18.88671875" style="2" customWidth="1"/>
    <col min="14321" max="14322" width="0" style="2" hidden="1" customWidth="1"/>
    <col min="14323" max="14567" width="5" style="2"/>
    <col min="14568" max="14568" width="2.109375" style="2" customWidth="1"/>
    <col min="14569" max="14569" width="24.88671875" style="2" customWidth="1"/>
    <col min="14570" max="14570" width="12.44140625" style="2" customWidth="1"/>
    <col min="14571" max="14571" width="12.109375" style="2" customWidth="1"/>
    <col min="14572" max="14572" width="48.109375" style="2" customWidth="1"/>
    <col min="14573" max="14573" width="4.5546875" style="2" customWidth="1"/>
    <col min="14574" max="14574" width="11.88671875" style="2" customWidth="1"/>
    <col min="14575" max="14575" width="0.5546875" style="2" customWidth="1"/>
    <col min="14576" max="14576" width="18.88671875" style="2" customWidth="1"/>
    <col min="14577" max="14578" width="0" style="2" hidden="1" customWidth="1"/>
    <col min="14579" max="14823" width="5" style="2"/>
    <col min="14824" max="14824" width="2.109375" style="2" customWidth="1"/>
    <col min="14825" max="14825" width="24.88671875" style="2" customWidth="1"/>
    <col min="14826" max="14826" width="12.44140625" style="2" customWidth="1"/>
    <col min="14827" max="14827" width="12.109375" style="2" customWidth="1"/>
    <col min="14828" max="14828" width="48.109375" style="2" customWidth="1"/>
    <col min="14829" max="14829" width="4.5546875" style="2" customWidth="1"/>
    <col min="14830" max="14830" width="11.88671875" style="2" customWidth="1"/>
    <col min="14831" max="14831" width="0.5546875" style="2" customWidth="1"/>
    <col min="14832" max="14832" width="18.88671875" style="2" customWidth="1"/>
    <col min="14833" max="14834" width="0" style="2" hidden="1" customWidth="1"/>
    <col min="14835" max="15079" width="5" style="2"/>
    <col min="15080" max="15080" width="2.109375" style="2" customWidth="1"/>
    <col min="15081" max="15081" width="24.88671875" style="2" customWidth="1"/>
    <col min="15082" max="15082" width="12.44140625" style="2" customWidth="1"/>
    <col min="15083" max="15083" width="12.109375" style="2" customWidth="1"/>
    <col min="15084" max="15084" width="48.109375" style="2" customWidth="1"/>
    <col min="15085" max="15085" width="4.5546875" style="2" customWidth="1"/>
    <col min="15086" max="15086" width="11.88671875" style="2" customWidth="1"/>
    <col min="15087" max="15087" width="0.5546875" style="2" customWidth="1"/>
    <col min="15088" max="15088" width="18.88671875" style="2" customWidth="1"/>
    <col min="15089" max="15090" width="0" style="2" hidden="1" customWidth="1"/>
    <col min="15091" max="15335" width="5" style="2"/>
    <col min="15336" max="15336" width="2.109375" style="2" customWidth="1"/>
    <col min="15337" max="15337" width="24.88671875" style="2" customWidth="1"/>
    <col min="15338" max="15338" width="12.44140625" style="2" customWidth="1"/>
    <col min="15339" max="15339" width="12.109375" style="2" customWidth="1"/>
    <col min="15340" max="15340" width="48.109375" style="2" customWidth="1"/>
    <col min="15341" max="15341" width="4.5546875" style="2" customWidth="1"/>
    <col min="15342" max="15342" width="11.88671875" style="2" customWidth="1"/>
    <col min="15343" max="15343" width="0.5546875" style="2" customWidth="1"/>
    <col min="15344" max="15344" width="18.88671875" style="2" customWidth="1"/>
    <col min="15345" max="15346" width="0" style="2" hidden="1" customWidth="1"/>
    <col min="15347" max="15591" width="5" style="2"/>
    <col min="15592" max="15592" width="2.109375" style="2" customWidth="1"/>
    <col min="15593" max="15593" width="24.88671875" style="2" customWidth="1"/>
    <col min="15594" max="15594" width="12.44140625" style="2" customWidth="1"/>
    <col min="15595" max="15595" width="12.109375" style="2" customWidth="1"/>
    <col min="15596" max="15596" width="48.109375" style="2" customWidth="1"/>
    <col min="15597" max="15597" width="4.5546875" style="2" customWidth="1"/>
    <col min="15598" max="15598" width="11.88671875" style="2" customWidth="1"/>
    <col min="15599" max="15599" width="0.5546875" style="2" customWidth="1"/>
    <col min="15600" max="15600" width="18.88671875" style="2" customWidth="1"/>
    <col min="15601" max="15602" width="0" style="2" hidden="1" customWidth="1"/>
    <col min="15603" max="15847" width="5" style="2"/>
    <col min="15848" max="15848" width="2.109375" style="2" customWidth="1"/>
    <col min="15849" max="15849" width="24.88671875" style="2" customWidth="1"/>
    <col min="15850" max="15850" width="12.44140625" style="2" customWidth="1"/>
    <col min="15851" max="15851" width="12.109375" style="2" customWidth="1"/>
    <col min="15852" max="15852" width="48.109375" style="2" customWidth="1"/>
    <col min="15853" max="15853" width="4.5546875" style="2" customWidth="1"/>
    <col min="15854" max="15854" width="11.88671875" style="2" customWidth="1"/>
    <col min="15855" max="15855" width="0.5546875" style="2" customWidth="1"/>
    <col min="15856" max="15856" width="18.88671875" style="2" customWidth="1"/>
    <col min="15857" max="15858" width="0" style="2" hidden="1" customWidth="1"/>
    <col min="15859" max="16103" width="5" style="2"/>
    <col min="16104" max="16104" width="2.109375" style="2" customWidth="1"/>
    <col min="16105" max="16105" width="24.88671875" style="2" customWidth="1"/>
    <col min="16106" max="16106" width="12.44140625" style="2" customWidth="1"/>
    <col min="16107" max="16107" width="12.109375" style="2" customWidth="1"/>
    <col min="16108" max="16108" width="48.109375" style="2" customWidth="1"/>
    <col min="16109" max="16109" width="4.5546875" style="2" customWidth="1"/>
    <col min="16110" max="16110" width="11.88671875" style="2" customWidth="1"/>
    <col min="16111" max="16111" width="0.5546875" style="2" customWidth="1"/>
    <col min="16112" max="16112" width="18.88671875" style="2" customWidth="1"/>
    <col min="16113" max="16114" width="0" style="2" hidden="1" customWidth="1"/>
    <col min="16115" max="16384" width="5" style="2"/>
  </cols>
  <sheetData>
    <row r="1" spans="1:8" ht="39" customHeight="1">
      <c r="A1" s="3"/>
      <c r="B1" s="4"/>
      <c r="C1" s="3"/>
      <c r="D1" s="3"/>
      <c r="E1" s="3"/>
      <c r="F1" s="3"/>
      <c r="G1" s="3"/>
      <c r="H1" s="5"/>
    </row>
    <row r="2" spans="1:8">
      <c r="A2" s="3"/>
      <c r="B2" s="3"/>
      <c r="C2" s="3"/>
      <c r="D2" s="3"/>
      <c r="E2" s="3"/>
      <c r="F2" s="3"/>
      <c r="G2" s="3"/>
      <c r="H2" s="3"/>
    </row>
    <row r="3" spans="1:8" ht="14.1" customHeight="1">
      <c r="A3" s="3"/>
      <c r="B3" s="34" t="s">
        <v>8</v>
      </c>
      <c r="C3" s="40" t="s">
        <v>9</v>
      </c>
      <c r="D3" s="40"/>
      <c r="E3" s="34" t="s">
        <v>10</v>
      </c>
      <c r="F3" s="34" t="s">
        <v>11</v>
      </c>
      <c r="G3" s="34" t="s">
        <v>12</v>
      </c>
      <c r="H3" s="6" t="s">
        <v>13</v>
      </c>
    </row>
    <row r="4" spans="1:8" s="7" customFormat="1" ht="20.399999999999999">
      <c r="B4" s="8" t="s">
        <v>14</v>
      </c>
      <c r="C4" s="9" t="s">
        <v>15</v>
      </c>
      <c r="D4" s="9" t="s">
        <v>16</v>
      </c>
      <c r="E4" s="10" t="s">
        <v>17</v>
      </c>
      <c r="F4" s="9" t="s">
        <v>721</v>
      </c>
      <c r="G4" s="11">
        <v>3112.23</v>
      </c>
      <c r="H4" s="1"/>
    </row>
    <row r="5" spans="1:8" s="7" customFormat="1" ht="12">
      <c r="B5" s="12"/>
      <c r="C5" s="9" t="s">
        <v>15</v>
      </c>
      <c r="D5" s="9" t="s">
        <v>18</v>
      </c>
      <c r="E5" s="10" t="s">
        <v>19</v>
      </c>
      <c r="F5" s="9" t="s">
        <v>721</v>
      </c>
      <c r="G5" s="11">
        <v>1634.95</v>
      </c>
      <c r="H5" s="1"/>
    </row>
    <row r="6" spans="1:8" s="7" customFormat="1" ht="20.399999999999999">
      <c r="B6" s="12"/>
      <c r="C6" s="9" t="s">
        <v>15</v>
      </c>
      <c r="D6" s="9" t="s">
        <v>20</v>
      </c>
      <c r="E6" s="10" t="s">
        <v>21</v>
      </c>
      <c r="F6" s="9" t="s">
        <v>721</v>
      </c>
      <c r="G6" s="11">
        <v>255.85</v>
      </c>
      <c r="H6" s="1"/>
    </row>
    <row r="7" spans="1:8" s="7" customFormat="1" ht="20.399999999999999">
      <c r="B7" s="13"/>
      <c r="C7" s="14" t="s">
        <v>605</v>
      </c>
      <c r="D7" s="14" t="s">
        <v>629</v>
      </c>
      <c r="E7" s="15" t="s">
        <v>23</v>
      </c>
      <c r="F7" s="16" t="s">
        <v>610</v>
      </c>
      <c r="G7" s="17">
        <v>1</v>
      </c>
      <c r="H7" s="1"/>
    </row>
    <row r="8" spans="1:8" s="7" customFormat="1" ht="20.399999999999999">
      <c r="B8" s="13"/>
      <c r="C8" s="14" t="s">
        <v>605</v>
      </c>
      <c r="D8" s="14" t="s">
        <v>630</v>
      </c>
      <c r="E8" s="15" t="s">
        <v>234</v>
      </c>
      <c r="F8" s="16" t="s">
        <v>610</v>
      </c>
      <c r="G8" s="17">
        <v>1</v>
      </c>
      <c r="H8" s="1"/>
    </row>
    <row r="9" spans="1:8" s="7" customFormat="1" ht="20.399999999999999">
      <c r="B9" s="13"/>
      <c r="C9" s="14" t="s">
        <v>605</v>
      </c>
      <c r="D9" s="14" t="s">
        <v>631</v>
      </c>
      <c r="E9" s="15" t="s">
        <v>613</v>
      </c>
      <c r="F9" s="16" t="s">
        <v>610</v>
      </c>
      <c r="G9" s="17">
        <v>2</v>
      </c>
      <c r="H9" s="1"/>
    </row>
    <row r="10" spans="1:8" s="7" customFormat="1" ht="20.399999999999999">
      <c r="B10" s="13"/>
      <c r="C10" s="14" t="s">
        <v>605</v>
      </c>
      <c r="D10" s="14" t="s">
        <v>632</v>
      </c>
      <c r="E10" s="15" t="s">
        <v>618</v>
      </c>
      <c r="F10" s="16" t="s">
        <v>610</v>
      </c>
      <c r="G10" s="17">
        <v>2</v>
      </c>
      <c r="H10" s="1"/>
    </row>
    <row r="11" spans="1:8" s="7" customFormat="1" ht="30.6">
      <c r="B11" s="13"/>
      <c r="C11" s="14" t="s">
        <v>605</v>
      </c>
      <c r="D11" s="14" t="s">
        <v>633</v>
      </c>
      <c r="E11" s="15" t="s">
        <v>623</v>
      </c>
      <c r="F11" s="16" t="s">
        <v>610</v>
      </c>
      <c r="G11" s="17">
        <v>1</v>
      </c>
      <c r="H11" s="1"/>
    </row>
    <row r="12" spans="1:8" s="7" customFormat="1" ht="30.6">
      <c r="B12" s="13"/>
      <c r="C12" s="14" t="s">
        <v>605</v>
      </c>
      <c r="D12" s="14" t="s">
        <v>634</v>
      </c>
      <c r="E12" s="15" t="s">
        <v>626</v>
      </c>
      <c r="F12" s="16" t="s">
        <v>610</v>
      </c>
      <c r="G12" s="17">
        <v>1</v>
      </c>
      <c r="H12" s="1"/>
    </row>
    <row r="13" spans="1:8">
      <c r="B13" s="18" t="s">
        <v>27</v>
      </c>
      <c r="C13" s="14" t="s">
        <v>640</v>
      </c>
      <c r="D13" s="14" t="s">
        <v>641</v>
      </c>
      <c r="E13" s="15" t="s">
        <v>637</v>
      </c>
      <c r="F13" s="16" t="s">
        <v>610</v>
      </c>
      <c r="G13" s="17">
        <v>1</v>
      </c>
      <c r="H13" s="1"/>
    </row>
    <row r="14" spans="1:8" s="7" customFormat="1" ht="12">
      <c r="B14" s="19"/>
      <c r="C14" s="9" t="s">
        <v>28</v>
      </c>
      <c r="D14" s="9" t="s">
        <v>29</v>
      </c>
      <c r="E14" s="10" t="s">
        <v>30</v>
      </c>
      <c r="F14" s="9" t="s">
        <v>722</v>
      </c>
      <c r="G14" s="11">
        <v>137.04</v>
      </c>
      <c r="H14" s="1"/>
    </row>
    <row r="15" spans="1:8" s="7" customFormat="1" ht="20.399999999999999">
      <c r="B15" s="12"/>
      <c r="C15" s="9" t="s">
        <v>28</v>
      </c>
      <c r="D15" s="9" t="s">
        <v>31</v>
      </c>
      <c r="E15" s="10" t="s">
        <v>32</v>
      </c>
      <c r="F15" s="9" t="s">
        <v>722</v>
      </c>
      <c r="G15" s="11">
        <v>33.69</v>
      </c>
      <c r="H15" s="1"/>
    </row>
    <row r="16" spans="1:8" s="7" customFormat="1" ht="12">
      <c r="B16" s="12"/>
      <c r="C16" s="9" t="s">
        <v>28</v>
      </c>
      <c r="D16" s="9" t="s">
        <v>33</v>
      </c>
      <c r="E16" s="10" t="s">
        <v>34</v>
      </c>
      <c r="F16" s="9" t="s">
        <v>723</v>
      </c>
      <c r="G16" s="11">
        <v>1346</v>
      </c>
      <c r="H16" s="1"/>
    </row>
    <row r="17" spans="2:8" s="7" customFormat="1" ht="20.399999999999999">
      <c r="B17" s="12"/>
      <c r="C17" s="9" t="s">
        <v>28</v>
      </c>
      <c r="D17" s="9" t="s">
        <v>35</v>
      </c>
      <c r="E17" s="10" t="s">
        <v>36</v>
      </c>
      <c r="F17" s="9" t="s">
        <v>724</v>
      </c>
      <c r="G17" s="11">
        <v>85</v>
      </c>
      <c r="H17" s="1"/>
    </row>
    <row r="18" spans="2:8" s="7" customFormat="1" ht="12">
      <c r="B18" s="12"/>
      <c r="C18" s="9" t="s">
        <v>28</v>
      </c>
      <c r="D18" s="9" t="s">
        <v>37</v>
      </c>
      <c r="E18" s="10" t="s">
        <v>38</v>
      </c>
      <c r="F18" s="9" t="s">
        <v>726</v>
      </c>
      <c r="G18" s="11">
        <v>200</v>
      </c>
      <c r="H18" s="1"/>
    </row>
    <row r="19" spans="2:8" s="7" customFormat="1" ht="12">
      <c r="B19" s="12"/>
      <c r="C19" s="9" t="s">
        <v>28</v>
      </c>
      <c r="D19" s="9" t="s">
        <v>39</v>
      </c>
      <c r="E19" s="10" t="s">
        <v>40</v>
      </c>
      <c r="F19" s="9" t="s">
        <v>723</v>
      </c>
      <c r="G19" s="11">
        <v>673.33</v>
      </c>
      <c r="H19" s="1"/>
    </row>
    <row r="20" spans="2:8" s="7" customFormat="1" ht="12">
      <c r="B20" s="12"/>
      <c r="C20" s="9" t="s">
        <v>28</v>
      </c>
      <c r="D20" s="9" t="s">
        <v>41</v>
      </c>
      <c r="E20" s="10" t="s">
        <v>42</v>
      </c>
      <c r="F20" s="9" t="s">
        <v>723</v>
      </c>
      <c r="G20" s="11">
        <v>294</v>
      </c>
      <c r="H20" s="1"/>
    </row>
    <row r="21" spans="2:8" s="7" customFormat="1" ht="20.399999999999999">
      <c r="B21" s="12"/>
      <c r="C21" s="9" t="s">
        <v>28</v>
      </c>
      <c r="D21" s="9" t="s">
        <v>43</v>
      </c>
      <c r="E21" s="10" t="s">
        <v>44</v>
      </c>
      <c r="F21" s="9" t="s">
        <v>724</v>
      </c>
      <c r="G21" s="11">
        <v>245.32</v>
      </c>
      <c r="H21" s="1"/>
    </row>
    <row r="22" spans="2:8" s="7" customFormat="1" ht="20.399999999999999">
      <c r="B22" s="12"/>
      <c r="C22" s="9" t="s">
        <v>28</v>
      </c>
      <c r="D22" s="9" t="s">
        <v>45</v>
      </c>
      <c r="E22" s="10" t="s">
        <v>46</v>
      </c>
      <c r="F22" s="9" t="s">
        <v>725</v>
      </c>
      <c r="G22" s="11">
        <v>4</v>
      </c>
      <c r="H22" s="1"/>
    </row>
    <row r="23" spans="2:8" s="7" customFormat="1" ht="20.399999999999999">
      <c r="B23" s="12"/>
      <c r="C23" s="9" t="s">
        <v>28</v>
      </c>
      <c r="D23" s="9" t="s">
        <v>47</v>
      </c>
      <c r="E23" s="10" t="s">
        <v>48</v>
      </c>
      <c r="F23" s="9" t="s">
        <v>722</v>
      </c>
      <c r="G23" s="11">
        <v>4.3</v>
      </c>
      <c r="H23" s="1"/>
    </row>
    <row r="24" spans="2:8" s="7" customFormat="1" ht="12">
      <c r="B24" s="12"/>
      <c r="C24" s="9" t="s">
        <v>28</v>
      </c>
      <c r="D24" s="9" t="s">
        <v>49</v>
      </c>
      <c r="E24" s="10" t="s">
        <v>50</v>
      </c>
      <c r="F24" s="9" t="s">
        <v>721</v>
      </c>
      <c r="G24" s="11">
        <v>3112.23</v>
      </c>
      <c r="H24" s="1"/>
    </row>
    <row r="25" spans="2:8" s="7" customFormat="1" ht="20.399999999999999">
      <c r="B25" s="12"/>
      <c r="C25" s="9" t="s">
        <v>28</v>
      </c>
      <c r="D25" s="9" t="s">
        <v>51</v>
      </c>
      <c r="E25" s="10" t="s">
        <v>52</v>
      </c>
      <c r="F25" s="9" t="s">
        <v>723</v>
      </c>
      <c r="G25" s="11">
        <v>1192.6300000000001</v>
      </c>
      <c r="H25" s="1"/>
    </row>
    <row r="26" spans="2:8" s="7" customFormat="1" ht="12">
      <c r="B26" s="12"/>
      <c r="C26" s="9" t="s">
        <v>28</v>
      </c>
      <c r="D26" s="9" t="s">
        <v>53</v>
      </c>
      <c r="E26" s="10" t="s">
        <v>54</v>
      </c>
      <c r="F26" s="9" t="s">
        <v>723</v>
      </c>
      <c r="G26" s="11">
        <v>674</v>
      </c>
      <c r="H26" s="1"/>
    </row>
    <row r="27" spans="2:8" s="7" customFormat="1" ht="12">
      <c r="B27" s="12"/>
      <c r="C27" s="9" t="s">
        <v>28</v>
      </c>
      <c r="D27" s="9" t="s">
        <v>55</v>
      </c>
      <c r="E27" s="10" t="s">
        <v>56</v>
      </c>
      <c r="F27" s="9" t="s">
        <v>723</v>
      </c>
      <c r="G27" s="11">
        <v>1263.47</v>
      </c>
      <c r="H27" s="1"/>
    </row>
    <row r="28" spans="2:8" s="7" customFormat="1" ht="12">
      <c r="B28" s="12"/>
      <c r="C28" s="9" t="s">
        <v>28</v>
      </c>
      <c r="D28" s="9" t="s">
        <v>57</v>
      </c>
      <c r="E28" s="10" t="s">
        <v>58</v>
      </c>
      <c r="F28" s="9" t="s">
        <v>724</v>
      </c>
      <c r="G28" s="11">
        <v>65.7</v>
      </c>
      <c r="H28" s="1"/>
    </row>
    <row r="29" spans="2:8" s="7" customFormat="1" ht="12">
      <c r="B29" s="12"/>
      <c r="C29" s="9" t="s">
        <v>28</v>
      </c>
      <c r="D29" s="9" t="s">
        <v>59</v>
      </c>
      <c r="E29" s="10" t="s">
        <v>60</v>
      </c>
      <c r="F29" s="9" t="s">
        <v>724</v>
      </c>
      <c r="G29" s="11">
        <v>13.1</v>
      </c>
      <c r="H29" s="1"/>
    </row>
    <row r="30" spans="2:8" s="7" customFormat="1" ht="12">
      <c r="B30" s="12"/>
      <c r="C30" s="9" t="s">
        <v>28</v>
      </c>
      <c r="D30" s="9" t="s">
        <v>61</v>
      </c>
      <c r="E30" s="10" t="s">
        <v>62</v>
      </c>
      <c r="F30" s="9" t="s">
        <v>724</v>
      </c>
      <c r="G30" s="11">
        <v>7.49</v>
      </c>
      <c r="H30" s="1"/>
    </row>
    <row r="31" spans="2:8" s="7" customFormat="1" ht="12">
      <c r="B31" s="20"/>
      <c r="C31" s="9" t="s">
        <v>28</v>
      </c>
      <c r="D31" s="9" t="s">
        <v>63</v>
      </c>
      <c r="E31" s="10" t="s">
        <v>64</v>
      </c>
      <c r="F31" s="9" t="s">
        <v>724</v>
      </c>
      <c r="G31" s="11">
        <v>318.68</v>
      </c>
      <c r="H31" s="1"/>
    </row>
    <row r="32" spans="2:8" s="7" customFormat="1" ht="20.399999999999999">
      <c r="B32" s="8" t="s">
        <v>65</v>
      </c>
      <c r="C32" s="9" t="s">
        <v>66</v>
      </c>
      <c r="D32" s="21" t="s">
        <v>67</v>
      </c>
      <c r="E32" s="10" t="s">
        <v>68</v>
      </c>
      <c r="F32" s="9" t="s">
        <v>723</v>
      </c>
      <c r="G32" s="11">
        <v>1703.29</v>
      </c>
      <c r="H32" s="1"/>
    </row>
    <row r="33" spans="2:8" s="7" customFormat="1" ht="12">
      <c r="B33" s="19"/>
      <c r="C33" s="9" t="s">
        <v>66</v>
      </c>
      <c r="D33" s="9" t="s">
        <v>69</v>
      </c>
      <c r="E33" s="10" t="s">
        <v>70</v>
      </c>
      <c r="F33" s="9" t="s">
        <v>723</v>
      </c>
      <c r="G33" s="11">
        <v>730.99</v>
      </c>
      <c r="H33" s="1"/>
    </row>
    <row r="34" spans="2:8" s="7" customFormat="1" ht="12">
      <c r="B34" s="20"/>
      <c r="C34" s="9" t="s">
        <v>66</v>
      </c>
      <c r="D34" s="9" t="s">
        <v>71</v>
      </c>
      <c r="E34" s="10" t="s">
        <v>72</v>
      </c>
      <c r="F34" s="9" t="s">
        <v>722</v>
      </c>
      <c r="G34" s="11">
        <v>365.5</v>
      </c>
      <c r="H34" s="1"/>
    </row>
    <row r="35" spans="2:8" s="7" customFormat="1" ht="12">
      <c r="B35" s="8" t="s">
        <v>73</v>
      </c>
      <c r="C35" s="9" t="s">
        <v>74</v>
      </c>
      <c r="D35" s="9" t="s">
        <v>75</v>
      </c>
      <c r="E35" s="10" t="s">
        <v>76</v>
      </c>
      <c r="F35" s="9" t="s">
        <v>722</v>
      </c>
      <c r="G35" s="11">
        <v>583.21</v>
      </c>
      <c r="H35" s="1"/>
    </row>
    <row r="36" spans="2:8" s="7" customFormat="1" ht="12">
      <c r="B36" s="12"/>
      <c r="C36" s="9" t="s">
        <v>74</v>
      </c>
      <c r="D36" s="9" t="s">
        <v>77</v>
      </c>
      <c r="E36" s="10" t="s">
        <v>78</v>
      </c>
      <c r="F36" s="9" t="s">
        <v>722</v>
      </c>
      <c r="G36" s="11">
        <v>281.79000000000002</v>
      </c>
      <c r="H36" s="1"/>
    </row>
    <row r="37" spans="2:8" s="7" customFormat="1" ht="12">
      <c r="B37" s="12"/>
      <c r="C37" s="9" t="s">
        <v>74</v>
      </c>
      <c r="D37" s="9" t="s">
        <v>79</v>
      </c>
      <c r="E37" s="10" t="s">
        <v>80</v>
      </c>
      <c r="F37" s="9" t="s">
        <v>723</v>
      </c>
      <c r="G37" s="11">
        <v>1605.22</v>
      </c>
      <c r="H37" s="1"/>
    </row>
    <row r="38" spans="2:8" s="7" customFormat="1" ht="12">
      <c r="B38" s="12"/>
      <c r="C38" s="9" t="s">
        <v>74</v>
      </c>
      <c r="D38" s="9" t="s">
        <v>81</v>
      </c>
      <c r="E38" s="10" t="s">
        <v>82</v>
      </c>
      <c r="F38" s="9" t="s">
        <v>723</v>
      </c>
      <c r="G38" s="11">
        <v>1605.22</v>
      </c>
      <c r="H38" s="1"/>
    </row>
    <row r="39" spans="2:8" s="7" customFormat="1" ht="20.399999999999999">
      <c r="B39" s="20"/>
      <c r="C39" s="9" t="s">
        <v>74</v>
      </c>
      <c r="D39" s="9" t="s">
        <v>83</v>
      </c>
      <c r="E39" s="10" t="s">
        <v>84</v>
      </c>
      <c r="F39" s="9" t="s">
        <v>723</v>
      </c>
      <c r="G39" s="11">
        <v>1605.22</v>
      </c>
      <c r="H39" s="1"/>
    </row>
    <row r="40" spans="2:8" s="7" customFormat="1" ht="12">
      <c r="B40" s="8" t="s">
        <v>85</v>
      </c>
      <c r="C40" s="9" t="s">
        <v>86</v>
      </c>
      <c r="D40" s="9" t="s">
        <v>87</v>
      </c>
      <c r="E40" s="10" t="s">
        <v>88</v>
      </c>
      <c r="F40" s="9" t="s">
        <v>724</v>
      </c>
      <c r="G40" s="11">
        <v>85</v>
      </c>
      <c r="H40" s="1"/>
    </row>
    <row r="41" spans="2:8" s="7" customFormat="1" ht="12">
      <c r="B41" s="12"/>
      <c r="C41" s="9" t="s">
        <v>86</v>
      </c>
      <c r="D41" s="9" t="s">
        <v>89</v>
      </c>
      <c r="E41" s="10" t="s">
        <v>90</v>
      </c>
      <c r="F41" s="9" t="s">
        <v>722</v>
      </c>
      <c r="G41" s="11">
        <v>249.19</v>
      </c>
      <c r="H41" s="1"/>
    </row>
    <row r="42" spans="2:8" s="7" customFormat="1" ht="12">
      <c r="B42" s="12"/>
      <c r="C42" s="9" t="s">
        <v>86</v>
      </c>
      <c r="D42" s="9" t="s">
        <v>91</v>
      </c>
      <c r="E42" s="10" t="s">
        <v>92</v>
      </c>
      <c r="F42" s="9" t="s">
        <v>722</v>
      </c>
      <c r="G42" s="11">
        <v>11.21</v>
      </c>
      <c r="H42" s="1"/>
    </row>
    <row r="43" spans="2:8" s="7" customFormat="1" ht="12">
      <c r="B43" s="12"/>
      <c r="C43" s="9" t="s">
        <v>86</v>
      </c>
      <c r="D43" s="9" t="s">
        <v>93</v>
      </c>
      <c r="E43" s="10" t="s">
        <v>94</v>
      </c>
      <c r="F43" s="9" t="s">
        <v>722</v>
      </c>
      <c r="G43" s="11">
        <v>532.6</v>
      </c>
      <c r="H43" s="1"/>
    </row>
    <row r="44" spans="2:8" s="7" customFormat="1" ht="12">
      <c r="B44" s="12"/>
      <c r="C44" s="9" t="s">
        <v>86</v>
      </c>
      <c r="D44" s="9" t="s">
        <v>95</v>
      </c>
      <c r="E44" s="10" t="s">
        <v>96</v>
      </c>
      <c r="F44" s="9" t="s">
        <v>722</v>
      </c>
      <c r="G44" s="11">
        <v>493.25</v>
      </c>
      <c r="H44" s="1"/>
    </row>
    <row r="45" spans="2:8" s="7" customFormat="1" ht="12">
      <c r="B45" s="19"/>
      <c r="C45" s="9" t="s">
        <v>86</v>
      </c>
      <c r="D45" s="9" t="s">
        <v>101</v>
      </c>
      <c r="E45" s="10" t="s">
        <v>102</v>
      </c>
      <c r="F45" s="9" t="s">
        <v>722</v>
      </c>
      <c r="G45" s="11">
        <v>1286.26</v>
      </c>
      <c r="H45" s="1"/>
    </row>
    <row r="46" spans="2:8" s="7" customFormat="1" ht="12">
      <c r="B46" s="12"/>
      <c r="C46" s="9" t="s">
        <v>86</v>
      </c>
      <c r="D46" s="9" t="s">
        <v>97</v>
      </c>
      <c r="E46" s="10" t="s">
        <v>98</v>
      </c>
      <c r="F46" s="9" t="s">
        <v>722</v>
      </c>
      <c r="G46" s="11">
        <v>1.94</v>
      </c>
      <c r="H46" s="1"/>
    </row>
    <row r="47" spans="2:8" s="7" customFormat="1" ht="12">
      <c r="B47" s="12"/>
      <c r="C47" s="9" t="s">
        <v>86</v>
      </c>
      <c r="D47" s="9" t="s">
        <v>99</v>
      </c>
      <c r="E47" s="10" t="s">
        <v>100</v>
      </c>
      <c r="F47" s="9" t="s">
        <v>722</v>
      </c>
      <c r="G47" s="11">
        <v>121.69</v>
      </c>
      <c r="H47" s="1"/>
    </row>
    <row r="48" spans="2:8" s="7" customFormat="1" ht="12">
      <c r="B48" s="20"/>
      <c r="C48" s="9" t="s">
        <v>86</v>
      </c>
      <c r="D48" s="9" t="s">
        <v>71</v>
      </c>
      <c r="E48" s="10" t="s">
        <v>72</v>
      </c>
      <c r="F48" s="9" t="s">
        <v>722</v>
      </c>
      <c r="G48" s="11">
        <v>860.5</v>
      </c>
      <c r="H48" s="1"/>
    </row>
    <row r="49" spans="2:8" s="7" customFormat="1" ht="12">
      <c r="B49" s="8" t="s">
        <v>103</v>
      </c>
      <c r="C49" s="9" t="s">
        <v>104</v>
      </c>
      <c r="D49" s="9" t="s">
        <v>105</v>
      </c>
      <c r="E49" s="10" t="s">
        <v>106</v>
      </c>
      <c r="F49" s="9" t="s">
        <v>722</v>
      </c>
      <c r="G49" s="11">
        <v>14.36</v>
      </c>
      <c r="H49" s="1"/>
    </row>
    <row r="50" spans="2:8" s="7" customFormat="1" ht="12">
      <c r="B50" s="12"/>
      <c r="C50" s="9" t="s">
        <v>104</v>
      </c>
      <c r="D50" s="9" t="s">
        <v>107</v>
      </c>
      <c r="E50" s="10" t="s">
        <v>108</v>
      </c>
      <c r="F50" s="9" t="s">
        <v>722</v>
      </c>
      <c r="G50" s="11">
        <v>5.94</v>
      </c>
      <c r="H50" s="1"/>
    </row>
    <row r="51" spans="2:8" s="7" customFormat="1" ht="12">
      <c r="B51" s="12"/>
      <c r="C51" s="9" t="s">
        <v>104</v>
      </c>
      <c r="D51" s="9" t="s">
        <v>109</v>
      </c>
      <c r="E51" s="10" t="s">
        <v>110</v>
      </c>
      <c r="F51" s="9" t="s">
        <v>723</v>
      </c>
      <c r="G51" s="11">
        <v>28.73</v>
      </c>
      <c r="H51" s="1"/>
    </row>
    <row r="52" spans="2:8" s="7" customFormat="1" ht="20.399999999999999">
      <c r="B52" s="12"/>
      <c r="C52" s="9" t="s">
        <v>104</v>
      </c>
      <c r="D52" s="9" t="s">
        <v>111</v>
      </c>
      <c r="E52" s="10" t="s">
        <v>112</v>
      </c>
      <c r="F52" s="9" t="s">
        <v>721</v>
      </c>
      <c r="G52" s="11">
        <v>0.95</v>
      </c>
      <c r="H52" s="1"/>
    </row>
    <row r="53" spans="2:8" s="7" customFormat="1" ht="12">
      <c r="B53" s="12"/>
      <c r="C53" s="9" t="s">
        <v>104</v>
      </c>
      <c r="D53" s="9" t="s">
        <v>113</v>
      </c>
      <c r="E53" s="10" t="s">
        <v>114</v>
      </c>
      <c r="F53" s="9" t="s">
        <v>722</v>
      </c>
      <c r="G53" s="11">
        <v>22.85</v>
      </c>
      <c r="H53" s="1"/>
    </row>
    <row r="54" spans="2:8" s="7" customFormat="1" ht="12">
      <c r="B54" s="12"/>
      <c r="C54" s="9" t="s">
        <v>104</v>
      </c>
      <c r="D54" s="9" t="s">
        <v>115</v>
      </c>
      <c r="E54" s="10" t="s">
        <v>116</v>
      </c>
      <c r="F54" s="9" t="s">
        <v>723</v>
      </c>
      <c r="G54" s="11">
        <v>72.010000000000005</v>
      </c>
      <c r="H54" s="1"/>
    </row>
    <row r="55" spans="2:8" s="7" customFormat="1" ht="12">
      <c r="B55" s="12"/>
      <c r="C55" s="9" t="s">
        <v>104</v>
      </c>
      <c r="D55" s="9" t="s">
        <v>117</v>
      </c>
      <c r="E55" s="10" t="s">
        <v>118</v>
      </c>
      <c r="F55" s="9" t="s">
        <v>723</v>
      </c>
      <c r="G55" s="11">
        <v>5.28</v>
      </c>
      <c r="H55" s="1"/>
    </row>
    <row r="56" spans="2:8" s="7" customFormat="1" ht="20.399999999999999">
      <c r="B56" s="12"/>
      <c r="C56" s="9" t="s">
        <v>104</v>
      </c>
      <c r="D56" s="9" t="s">
        <v>119</v>
      </c>
      <c r="E56" s="10" t="s">
        <v>120</v>
      </c>
      <c r="F56" s="9" t="s">
        <v>721</v>
      </c>
      <c r="G56" s="11">
        <v>2.93</v>
      </c>
      <c r="H56" s="1"/>
    </row>
    <row r="57" spans="2:8" s="7" customFormat="1" ht="20.399999999999999">
      <c r="B57" s="12"/>
      <c r="C57" s="9" t="s">
        <v>104</v>
      </c>
      <c r="D57" s="9" t="s">
        <v>121</v>
      </c>
      <c r="E57" s="10" t="s">
        <v>122</v>
      </c>
      <c r="F57" s="9" t="s">
        <v>722</v>
      </c>
      <c r="G57" s="11">
        <v>40.19</v>
      </c>
      <c r="H57" s="1"/>
    </row>
    <row r="58" spans="2:8" s="7" customFormat="1" ht="20.399999999999999">
      <c r="B58" s="12"/>
      <c r="C58" s="9" t="s">
        <v>104</v>
      </c>
      <c r="D58" s="9" t="s">
        <v>123</v>
      </c>
      <c r="E58" s="10" t="s">
        <v>124</v>
      </c>
      <c r="F58" s="9" t="s">
        <v>723</v>
      </c>
      <c r="G58" s="11">
        <v>14.68</v>
      </c>
      <c r="H58" s="1"/>
    </row>
    <row r="59" spans="2:8" s="7" customFormat="1" ht="20.399999999999999">
      <c r="B59" s="12"/>
      <c r="C59" s="9" t="s">
        <v>104</v>
      </c>
      <c r="D59" s="9" t="s">
        <v>125</v>
      </c>
      <c r="E59" s="10" t="s">
        <v>126</v>
      </c>
      <c r="F59" s="9" t="s">
        <v>721</v>
      </c>
      <c r="G59" s="11">
        <v>6.76</v>
      </c>
      <c r="H59" s="1"/>
    </row>
    <row r="60" spans="2:8" s="7" customFormat="1" ht="20.399999999999999">
      <c r="B60" s="12"/>
      <c r="C60" s="9" t="s">
        <v>104</v>
      </c>
      <c r="D60" s="9" t="s">
        <v>127</v>
      </c>
      <c r="E60" s="10" t="s">
        <v>128</v>
      </c>
      <c r="F60" s="9" t="s">
        <v>722</v>
      </c>
      <c r="G60" s="11">
        <v>82.13</v>
      </c>
      <c r="H60" s="1"/>
    </row>
    <row r="61" spans="2:8" s="7" customFormat="1" ht="20.399999999999999">
      <c r="B61" s="12"/>
      <c r="C61" s="9" t="s">
        <v>104</v>
      </c>
      <c r="D61" s="9" t="s">
        <v>129</v>
      </c>
      <c r="E61" s="10" t="s">
        <v>130</v>
      </c>
      <c r="F61" s="9" t="s">
        <v>723</v>
      </c>
      <c r="G61" s="11">
        <v>21.19</v>
      </c>
      <c r="H61" s="1"/>
    </row>
    <row r="62" spans="2:8" s="7" customFormat="1" ht="20.399999999999999">
      <c r="B62" s="12"/>
      <c r="C62" s="9" t="s">
        <v>104</v>
      </c>
      <c r="D62" s="9" t="s">
        <v>131</v>
      </c>
      <c r="E62" s="10" t="s">
        <v>132</v>
      </c>
      <c r="F62" s="9" t="s">
        <v>721</v>
      </c>
      <c r="G62" s="11">
        <v>5.69</v>
      </c>
      <c r="H62" s="1"/>
    </row>
    <row r="63" spans="2:8" s="7" customFormat="1" ht="20.399999999999999">
      <c r="B63" s="12"/>
      <c r="C63" s="9" t="s">
        <v>104</v>
      </c>
      <c r="D63" s="9" t="s">
        <v>133</v>
      </c>
      <c r="E63" s="10" t="s">
        <v>134</v>
      </c>
      <c r="F63" s="9" t="s">
        <v>722</v>
      </c>
      <c r="G63" s="11">
        <v>243.01</v>
      </c>
      <c r="H63" s="1"/>
    </row>
    <row r="64" spans="2:8" s="7" customFormat="1" ht="12">
      <c r="B64" s="12"/>
      <c r="C64" s="9" t="s">
        <v>104</v>
      </c>
      <c r="D64" s="9" t="s">
        <v>135</v>
      </c>
      <c r="E64" s="10" t="s">
        <v>136</v>
      </c>
      <c r="F64" s="9" t="s">
        <v>723</v>
      </c>
      <c r="G64" s="11">
        <v>7.86</v>
      </c>
      <c r="H64" s="1"/>
    </row>
    <row r="65" spans="2:8" s="7" customFormat="1" ht="20.399999999999999">
      <c r="B65" s="12"/>
      <c r="C65" s="9" t="s">
        <v>104</v>
      </c>
      <c r="D65" s="9" t="s">
        <v>137</v>
      </c>
      <c r="E65" s="10" t="s">
        <v>138</v>
      </c>
      <c r="F65" s="9" t="s">
        <v>724</v>
      </c>
      <c r="G65" s="11">
        <v>77.45</v>
      </c>
      <c r="H65" s="1"/>
    </row>
    <row r="66" spans="2:8" s="7" customFormat="1" ht="12">
      <c r="B66" s="12"/>
      <c r="C66" s="9" t="s">
        <v>104</v>
      </c>
      <c r="D66" s="9" t="s">
        <v>139</v>
      </c>
      <c r="E66" s="10" t="s">
        <v>140</v>
      </c>
      <c r="F66" s="9" t="s">
        <v>725</v>
      </c>
      <c r="G66" s="11">
        <v>4</v>
      </c>
      <c r="H66" s="1"/>
    </row>
    <row r="67" spans="2:8" s="7" customFormat="1" ht="12">
      <c r="B67" s="12"/>
      <c r="C67" s="9" t="s">
        <v>104</v>
      </c>
      <c r="D67" s="9" t="s">
        <v>141</v>
      </c>
      <c r="E67" s="10" t="s">
        <v>142</v>
      </c>
      <c r="F67" s="9" t="s">
        <v>723</v>
      </c>
      <c r="G67" s="11">
        <v>49.65</v>
      </c>
      <c r="H67" s="1"/>
    </row>
    <row r="68" spans="2:8" s="7" customFormat="1" ht="12">
      <c r="B68" s="12"/>
      <c r="C68" s="9" t="s">
        <v>104</v>
      </c>
      <c r="D68" s="9" t="s">
        <v>143</v>
      </c>
      <c r="E68" s="10" t="s">
        <v>144</v>
      </c>
      <c r="F68" s="9" t="s">
        <v>724</v>
      </c>
      <c r="G68" s="11">
        <v>470.1</v>
      </c>
      <c r="H68" s="1"/>
    </row>
    <row r="69" spans="2:8" s="7" customFormat="1" ht="12">
      <c r="B69" s="12"/>
      <c r="C69" s="9" t="s">
        <v>104</v>
      </c>
      <c r="D69" s="9" t="s">
        <v>145</v>
      </c>
      <c r="E69" s="10" t="s">
        <v>146</v>
      </c>
      <c r="F69" s="9" t="s">
        <v>725</v>
      </c>
      <c r="G69" s="11">
        <v>6</v>
      </c>
      <c r="H69" s="1"/>
    </row>
    <row r="70" spans="2:8" s="7" customFormat="1" ht="12">
      <c r="B70" s="12"/>
      <c r="C70" s="9" t="s">
        <v>104</v>
      </c>
      <c r="D70" s="9" t="s">
        <v>147</v>
      </c>
      <c r="E70" s="10" t="s">
        <v>148</v>
      </c>
      <c r="F70" s="9" t="s">
        <v>724</v>
      </c>
      <c r="G70" s="11">
        <v>275.89</v>
      </c>
      <c r="H70" s="1"/>
    </row>
    <row r="71" spans="2:8" s="7" customFormat="1" ht="20.399999999999999">
      <c r="B71" s="20"/>
      <c r="C71" s="9" t="s">
        <v>104</v>
      </c>
      <c r="D71" s="9" t="s">
        <v>149</v>
      </c>
      <c r="E71" s="10" t="s">
        <v>150</v>
      </c>
      <c r="F71" s="9" t="s">
        <v>723</v>
      </c>
      <c r="G71" s="11">
        <v>127.52</v>
      </c>
      <c r="H71" s="1"/>
    </row>
    <row r="72" spans="2:8" s="7" customFormat="1" ht="20.399999999999999">
      <c r="B72" s="8" t="s">
        <v>151</v>
      </c>
      <c r="C72" s="9" t="s">
        <v>152</v>
      </c>
      <c r="D72" s="9" t="s">
        <v>153</v>
      </c>
      <c r="E72" s="10" t="s">
        <v>154</v>
      </c>
      <c r="F72" s="9" t="s">
        <v>723</v>
      </c>
      <c r="G72" s="11">
        <v>997.86</v>
      </c>
      <c r="H72" s="1"/>
    </row>
    <row r="73" spans="2:8" s="7" customFormat="1" ht="20.399999999999999">
      <c r="B73" s="12"/>
      <c r="C73" s="9" t="s">
        <v>152</v>
      </c>
      <c r="D73" s="9" t="s">
        <v>155</v>
      </c>
      <c r="E73" s="10" t="s">
        <v>156</v>
      </c>
      <c r="F73" s="9" t="s">
        <v>722</v>
      </c>
      <c r="G73" s="11">
        <v>42.95</v>
      </c>
      <c r="H73" s="1"/>
    </row>
    <row r="74" spans="2:8" s="7" customFormat="1" ht="20.399999999999999">
      <c r="B74" s="12"/>
      <c r="C74" s="9" t="s">
        <v>152</v>
      </c>
      <c r="D74" s="9" t="s">
        <v>157</v>
      </c>
      <c r="E74" s="10" t="s">
        <v>158</v>
      </c>
      <c r="F74" s="9" t="s">
        <v>722</v>
      </c>
      <c r="G74" s="11">
        <v>28.38</v>
      </c>
      <c r="H74" s="1"/>
    </row>
    <row r="75" spans="2:8" s="7" customFormat="1" ht="20.399999999999999">
      <c r="B75" s="12"/>
      <c r="C75" s="9" t="s">
        <v>152</v>
      </c>
      <c r="D75" s="9" t="s">
        <v>159</v>
      </c>
      <c r="E75" s="10" t="s">
        <v>160</v>
      </c>
      <c r="F75" s="9" t="s">
        <v>722</v>
      </c>
      <c r="G75" s="11">
        <v>0.26</v>
      </c>
      <c r="H75" s="1"/>
    </row>
    <row r="76" spans="2:8" s="7" customFormat="1" ht="12">
      <c r="B76" s="12"/>
      <c r="C76" s="9" t="s">
        <v>152</v>
      </c>
      <c r="D76" s="9" t="s">
        <v>161</v>
      </c>
      <c r="E76" s="10" t="s">
        <v>162</v>
      </c>
      <c r="F76" s="9" t="s">
        <v>722</v>
      </c>
      <c r="G76" s="11">
        <v>11.58</v>
      </c>
      <c r="H76" s="1"/>
    </row>
    <row r="77" spans="2:8" s="7" customFormat="1" ht="20.399999999999999">
      <c r="B77" s="12"/>
      <c r="C77" s="9" t="s">
        <v>152</v>
      </c>
      <c r="D77" s="9" t="s">
        <v>163</v>
      </c>
      <c r="E77" s="10" t="s">
        <v>164</v>
      </c>
      <c r="F77" s="9" t="s">
        <v>724</v>
      </c>
      <c r="G77" s="11">
        <v>114</v>
      </c>
      <c r="H77" s="1"/>
    </row>
    <row r="78" spans="2:8" s="7" customFormat="1" ht="12">
      <c r="B78" s="12"/>
      <c r="C78" s="9" t="s">
        <v>152</v>
      </c>
      <c r="D78" s="9" t="s">
        <v>165</v>
      </c>
      <c r="E78" s="10" t="s">
        <v>166</v>
      </c>
      <c r="F78" s="9" t="s">
        <v>724</v>
      </c>
      <c r="G78" s="11">
        <v>30.73</v>
      </c>
      <c r="H78" s="1"/>
    </row>
    <row r="79" spans="2:8" s="7" customFormat="1" ht="12">
      <c r="B79" s="12"/>
      <c r="C79" s="9" t="s">
        <v>152</v>
      </c>
      <c r="D79" s="9" t="s">
        <v>167</v>
      </c>
      <c r="E79" s="10" t="s">
        <v>168</v>
      </c>
      <c r="F79" s="9" t="s">
        <v>724</v>
      </c>
      <c r="G79" s="11">
        <v>63.22</v>
      </c>
      <c r="H79" s="1"/>
    </row>
    <row r="80" spans="2:8" s="7" customFormat="1" ht="12">
      <c r="B80" s="12"/>
      <c r="C80" s="9" t="s">
        <v>152</v>
      </c>
      <c r="D80" s="9" t="s">
        <v>169</v>
      </c>
      <c r="E80" s="10" t="s">
        <v>170</v>
      </c>
      <c r="F80" s="9" t="s">
        <v>725</v>
      </c>
      <c r="G80" s="11">
        <v>10</v>
      </c>
      <c r="H80" s="1"/>
    </row>
    <row r="81" spans="2:8" s="7" customFormat="1" ht="20.399999999999999">
      <c r="B81" s="12"/>
      <c r="C81" s="9" t="s">
        <v>152</v>
      </c>
      <c r="D81" s="9" t="s">
        <v>171</v>
      </c>
      <c r="E81" s="10" t="s">
        <v>172</v>
      </c>
      <c r="F81" s="9" t="s">
        <v>725</v>
      </c>
      <c r="G81" s="11">
        <v>4</v>
      </c>
      <c r="H81" s="1"/>
    </row>
    <row r="82" spans="2:8" s="7" customFormat="1" ht="12">
      <c r="B82" s="20"/>
      <c r="C82" s="9" t="s">
        <v>152</v>
      </c>
      <c r="D82" s="9" t="s">
        <v>173</v>
      </c>
      <c r="E82" s="10" t="s">
        <v>174</v>
      </c>
      <c r="F82" s="9" t="s">
        <v>724</v>
      </c>
      <c r="G82" s="11">
        <v>5.5</v>
      </c>
      <c r="H82" s="1"/>
    </row>
    <row r="83" spans="2:8" s="7" customFormat="1" ht="20.399999999999999">
      <c r="B83" s="8" t="s">
        <v>175</v>
      </c>
      <c r="C83" s="9" t="s">
        <v>176</v>
      </c>
      <c r="D83" s="9" t="s">
        <v>177</v>
      </c>
      <c r="E83" s="10" t="s">
        <v>178</v>
      </c>
      <c r="F83" s="9" t="s">
        <v>722</v>
      </c>
      <c r="G83" s="11">
        <v>72.47</v>
      </c>
      <c r="H83" s="1"/>
    </row>
    <row r="84" spans="2:8" s="7" customFormat="1" ht="12">
      <c r="B84" s="12"/>
      <c r="C84" s="9" t="s">
        <v>176</v>
      </c>
      <c r="D84" s="9" t="s">
        <v>179</v>
      </c>
      <c r="E84" s="10" t="s">
        <v>180</v>
      </c>
      <c r="F84" s="9" t="s">
        <v>722</v>
      </c>
      <c r="G84" s="11">
        <v>7.58</v>
      </c>
      <c r="H84" s="1"/>
    </row>
    <row r="85" spans="2:8" s="7" customFormat="1" ht="20.399999999999999">
      <c r="B85" s="12"/>
      <c r="C85" s="9" t="s">
        <v>176</v>
      </c>
      <c r="D85" s="9" t="s">
        <v>181</v>
      </c>
      <c r="E85" s="10" t="s">
        <v>182</v>
      </c>
      <c r="F85" s="9" t="s">
        <v>722</v>
      </c>
      <c r="G85" s="11">
        <v>49.41</v>
      </c>
      <c r="H85" s="1"/>
    </row>
    <row r="86" spans="2:8" s="7" customFormat="1" ht="20.399999999999999">
      <c r="B86" s="20"/>
      <c r="C86" s="9" t="s">
        <v>176</v>
      </c>
      <c r="D86" s="9" t="s">
        <v>183</v>
      </c>
      <c r="E86" s="10" t="s">
        <v>184</v>
      </c>
      <c r="F86" s="9" t="s">
        <v>723</v>
      </c>
      <c r="G86" s="11">
        <v>274.52</v>
      </c>
      <c r="H86" s="1"/>
    </row>
    <row r="87" spans="2:8" s="7" customFormat="1" ht="12">
      <c r="B87" s="10" t="s">
        <v>185</v>
      </c>
      <c r="C87" s="9" t="s">
        <v>186</v>
      </c>
      <c r="D87" s="9" t="s">
        <v>187</v>
      </c>
      <c r="E87" s="10" t="s">
        <v>188</v>
      </c>
      <c r="F87" s="9" t="s">
        <v>722</v>
      </c>
      <c r="G87" s="11">
        <v>5.25</v>
      </c>
      <c r="H87" s="1"/>
    </row>
    <row r="88" spans="2:8" s="7" customFormat="1" ht="30.6">
      <c r="B88" s="8" t="s">
        <v>189</v>
      </c>
      <c r="C88" s="9" t="s">
        <v>190</v>
      </c>
      <c r="D88" s="9" t="s">
        <v>191</v>
      </c>
      <c r="E88" s="10" t="s">
        <v>192</v>
      </c>
      <c r="F88" s="9" t="s">
        <v>722</v>
      </c>
      <c r="G88" s="11">
        <v>372.05</v>
      </c>
      <c r="H88" s="1"/>
    </row>
    <row r="89" spans="2:8" s="7" customFormat="1" ht="12">
      <c r="B89" s="12"/>
      <c r="C89" s="9" t="s">
        <v>190</v>
      </c>
      <c r="D89" s="9" t="s">
        <v>193</v>
      </c>
      <c r="E89" s="10" t="s">
        <v>194</v>
      </c>
      <c r="F89" s="9" t="s">
        <v>723</v>
      </c>
      <c r="G89" s="11">
        <v>8.14</v>
      </c>
      <c r="H89" s="1"/>
    </row>
    <row r="90" spans="2:8" s="7" customFormat="1" ht="12">
      <c r="B90" s="12"/>
      <c r="C90" s="9" t="s">
        <v>190</v>
      </c>
      <c r="D90" s="9" t="s">
        <v>195</v>
      </c>
      <c r="E90" s="10" t="s">
        <v>196</v>
      </c>
      <c r="F90" s="9" t="s">
        <v>721</v>
      </c>
      <c r="G90" s="11">
        <v>4.51</v>
      </c>
      <c r="H90" s="1"/>
    </row>
    <row r="91" spans="2:8" s="7" customFormat="1" ht="12">
      <c r="B91" s="20"/>
      <c r="C91" s="9" t="s">
        <v>190</v>
      </c>
      <c r="D91" s="9" t="s">
        <v>197</v>
      </c>
      <c r="E91" s="10" t="s">
        <v>198</v>
      </c>
      <c r="F91" s="9" t="s">
        <v>723</v>
      </c>
      <c r="G91" s="11">
        <v>8.3000000000000007</v>
      </c>
      <c r="H91" s="1"/>
    </row>
    <row r="92" spans="2:8" s="7" customFormat="1" ht="20.399999999999999">
      <c r="B92" s="8" t="s">
        <v>199</v>
      </c>
      <c r="C92" s="14" t="s">
        <v>712</v>
      </c>
      <c r="D92" s="14" t="s">
        <v>713</v>
      </c>
      <c r="E92" s="15" t="s">
        <v>714</v>
      </c>
      <c r="F92" s="9" t="s">
        <v>723</v>
      </c>
      <c r="G92" s="11">
        <v>610.30999999999995</v>
      </c>
      <c r="H92" s="1"/>
    </row>
    <row r="93" spans="2:8" s="7" customFormat="1" ht="12">
      <c r="B93" s="12"/>
      <c r="C93" s="14" t="s">
        <v>712</v>
      </c>
      <c r="D93" s="14" t="s">
        <v>715</v>
      </c>
      <c r="E93" s="15" t="s">
        <v>716</v>
      </c>
      <c r="F93" s="9" t="s">
        <v>723</v>
      </c>
      <c r="G93" s="11">
        <v>383.42</v>
      </c>
      <c r="H93" s="1"/>
    </row>
    <row r="94" spans="2:8" s="7" customFormat="1" ht="12">
      <c r="B94" s="20"/>
      <c r="C94" s="14" t="s">
        <v>712</v>
      </c>
      <c r="D94" s="14" t="s">
        <v>717</v>
      </c>
      <c r="E94" s="15" t="s">
        <v>718</v>
      </c>
      <c r="F94" s="9" t="s">
        <v>723</v>
      </c>
      <c r="G94" s="11">
        <v>923.23</v>
      </c>
      <c r="H94" s="1"/>
    </row>
    <row r="95" spans="2:8" s="7" customFormat="1" ht="20.399999999999999">
      <c r="B95" s="8" t="s">
        <v>204</v>
      </c>
      <c r="C95" s="9" t="s">
        <v>205</v>
      </c>
      <c r="D95" s="9" t="s">
        <v>206</v>
      </c>
      <c r="E95" s="10" t="s">
        <v>207</v>
      </c>
      <c r="F95" s="9" t="s">
        <v>724</v>
      </c>
      <c r="G95" s="11">
        <v>115.15</v>
      </c>
      <c r="H95" s="1"/>
    </row>
    <row r="96" spans="2:8" s="7" customFormat="1" ht="20.399999999999999">
      <c r="B96" s="20"/>
      <c r="C96" s="9" t="s">
        <v>205</v>
      </c>
      <c r="D96" s="9" t="s">
        <v>208</v>
      </c>
      <c r="E96" s="10" t="s">
        <v>209</v>
      </c>
      <c r="F96" s="9" t="s">
        <v>723</v>
      </c>
      <c r="G96" s="11">
        <v>19.27</v>
      </c>
      <c r="H96" s="1"/>
    </row>
    <row r="97" spans="2:8" s="7" customFormat="1" ht="12">
      <c r="B97" s="8" t="s">
        <v>210</v>
      </c>
      <c r="C97" s="9" t="s">
        <v>211</v>
      </c>
      <c r="D97" s="9" t="s">
        <v>212</v>
      </c>
      <c r="E97" s="10" t="s">
        <v>213</v>
      </c>
      <c r="F97" s="9" t="s">
        <v>722</v>
      </c>
      <c r="G97" s="11">
        <v>1.21</v>
      </c>
      <c r="H97" s="1"/>
    </row>
    <row r="98" spans="2:8" s="7" customFormat="1" ht="12">
      <c r="B98" s="12"/>
      <c r="C98" s="9" t="s">
        <v>211</v>
      </c>
      <c r="D98" s="9" t="s">
        <v>214</v>
      </c>
      <c r="E98" s="10" t="s">
        <v>215</v>
      </c>
      <c r="F98" s="9" t="s">
        <v>723</v>
      </c>
      <c r="G98" s="11">
        <v>6.82</v>
      </c>
      <c r="H98" s="1"/>
    </row>
    <row r="99" spans="2:8" s="7" customFormat="1" ht="12">
      <c r="B99" s="20"/>
      <c r="C99" s="9" t="s">
        <v>211</v>
      </c>
      <c r="D99" s="9" t="s">
        <v>216</v>
      </c>
      <c r="E99" s="10" t="s">
        <v>217</v>
      </c>
      <c r="F99" s="9" t="s">
        <v>721</v>
      </c>
      <c r="G99" s="11">
        <v>0.31</v>
      </c>
      <c r="H99" s="1"/>
    </row>
    <row r="100" spans="2:8" s="7" customFormat="1" ht="12">
      <c r="B100" s="8" t="s">
        <v>218</v>
      </c>
      <c r="C100" s="9" t="s">
        <v>219</v>
      </c>
      <c r="D100" s="9" t="s">
        <v>220</v>
      </c>
      <c r="E100" s="10" t="s">
        <v>221</v>
      </c>
      <c r="F100" s="9" t="s">
        <v>723</v>
      </c>
      <c r="G100" s="11">
        <v>685.57</v>
      </c>
      <c r="H100" s="1"/>
    </row>
    <row r="101" spans="2:8" s="7" customFormat="1" ht="20.399999999999999">
      <c r="B101" s="20"/>
      <c r="C101" s="9" t="s">
        <v>219</v>
      </c>
      <c r="D101" s="9" t="s">
        <v>222</v>
      </c>
      <c r="E101" s="10" t="s">
        <v>223</v>
      </c>
      <c r="F101" s="9" t="s">
        <v>723</v>
      </c>
      <c r="G101" s="11">
        <v>491.7</v>
      </c>
      <c r="H101" s="1"/>
    </row>
    <row r="102" spans="2:8" s="7" customFormat="1" ht="20.399999999999999">
      <c r="B102" s="8" t="s">
        <v>224</v>
      </c>
      <c r="C102" s="9" t="s">
        <v>225</v>
      </c>
      <c r="D102" s="9" t="s">
        <v>226</v>
      </c>
      <c r="E102" s="10" t="s">
        <v>227</v>
      </c>
      <c r="F102" s="9" t="s">
        <v>723</v>
      </c>
      <c r="G102" s="11">
        <v>245.13</v>
      </c>
      <c r="H102" s="1"/>
    </row>
    <row r="103" spans="2:8" s="7" customFormat="1" ht="12">
      <c r="B103" s="20"/>
      <c r="C103" s="9" t="s">
        <v>225</v>
      </c>
      <c r="D103" s="9" t="s">
        <v>228</v>
      </c>
      <c r="E103" s="10" t="s">
        <v>229</v>
      </c>
      <c r="F103" s="9" t="s">
        <v>723</v>
      </c>
      <c r="G103" s="11">
        <v>815.68</v>
      </c>
      <c r="H103" s="1"/>
    </row>
    <row r="104" spans="2:8" s="7" customFormat="1">
      <c r="B104" s="22"/>
      <c r="C104" s="2"/>
      <c r="D104" s="2"/>
      <c r="E104" s="22"/>
      <c r="F104" s="2"/>
      <c r="G104" s="2"/>
      <c r="H104" s="2"/>
    </row>
    <row r="105" spans="2:8">
      <c r="B105" s="51" t="s">
        <v>729</v>
      </c>
      <c r="C105" s="54"/>
      <c r="E105" s="2"/>
    </row>
    <row r="106" spans="2:8">
      <c r="B106" s="2"/>
      <c r="C106" s="54"/>
      <c r="E106" s="2"/>
      <c r="F106" s="48"/>
      <c r="G106" s="48"/>
      <c r="H106" s="48"/>
    </row>
    <row r="107" spans="2:8">
      <c r="B107" s="54"/>
      <c r="E107" s="2"/>
      <c r="F107" s="56" t="s">
        <v>730</v>
      </c>
      <c r="G107" s="56"/>
      <c r="H107" s="56"/>
    </row>
    <row r="108" spans="2:8">
      <c r="B108" s="51" t="s">
        <v>731</v>
      </c>
      <c r="E108" s="2"/>
      <c r="F108" s="56" t="s">
        <v>732</v>
      </c>
      <c r="G108" s="56"/>
      <c r="H108" s="56"/>
    </row>
    <row r="109" spans="2:8">
      <c r="B109" s="2"/>
      <c r="E109" s="2"/>
    </row>
    <row r="110" spans="2:8">
      <c r="B110" s="2"/>
      <c r="D110" s="22"/>
      <c r="E110" s="2"/>
    </row>
  </sheetData>
  <sheetProtection algorithmName="SHA-512" hashValue="Qp0bIA1D7aHnzm9ksQuWjMP5DEyu9nzlT71wg7FERpL0UaYgcSVXOmRbu/oKH9paniasDiMoPseZJuYK5b63jw==" saltValue="rtarYaQcDfeb32ubrkCZ3w==" spinCount="100000" sheet="1"/>
  <mergeCells count="4">
    <mergeCell ref="C3:D3"/>
    <mergeCell ref="F106:H106"/>
    <mergeCell ref="F107:H107"/>
    <mergeCell ref="F108:H108"/>
  </mergeCells>
  <pageMargins left="0.43307086614173229" right="0.43307086614173229" top="0.43307086614173229" bottom="0.62992125984251968" header="0.27559055118110237" footer="0.27559055118110237"/>
  <pageSetup scale="92" orientation="landscape" errors="blank" r:id="rId1"/>
  <headerFooter>
    <oddHeader>&amp;LOprava mosta ev.č. R1-168.1 vetva v križovatke Kováčová&amp;R&amp;"-,Normálne"&amp;11Príloha č.3 k B2 -Výkaz výmer 
(zároveň Príloha č.2 k Zmluve)
Súpis prác</oddHeader>
    <oddFooter>&amp;RStrana &amp;P / &amp;N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showGridLines="0" topLeftCell="A106" zoomScaleNormal="100" zoomScaleSheetLayoutView="85" zoomScalePageLayoutView="85" workbookViewId="0">
      <selection activeCell="F112" sqref="F112:H112"/>
    </sheetView>
  </sheetViews>
  <sheetFormatPr defaultColWidth="0.109375" defaultRowHeight="13.2"/>
  <cols>
    <col min="1" max="1" width="2.109375" style="2" customWidth="1"/>
    <col min="2" max="2" width="23.88671875" style="22" customWidth="1"/>
    <col min="3" max="3" width="7.5546875" style="2" customWidth="1"/>
    <col min="4" max="4" width="12" style="2" customWidth="1"/>
    <col min="5" max="5" width="61" style="22" customWidth="1"/>
    <col min="6" max="6" width="4.44140625" style="2" customWidth="1"/>
    <col min="7" max="7" width="9" style="2" customWidth="1"/>
    <col min="8" max="8" width="14.77734375" style="2" customWidth="1"/>
    <col min="9" max="9" width="15.109375" style="2" customWidth="1"/>
    <col min="10" max="2050" width="9.109375" style="2" customWidth="1"/>
    <col min="2051" max="2051" width="4.44140625" style="2" customWidth="1"/>
    <col min="2052" max="2052" width="12.109375" style="2" customWidth="1"/>
    <col min="2053" max="2053" width="0" style="2" hidden="1" customWidth="1"/>
    <col min="2054" max="2054" width="14.88671875" style="2" customWidth="1"/>
    <col min="2055" max="2055" width="15.109375" style="2" customWidth="1"/>
    <col min="2056" max="2056" width="14" style="2" customWidth="1"/>
    <col min="2057" max="2301" width="0.109375" style="2"/>
    <col min="2302" max="2302" width="2.109375" style="2" customWidth="1"/>
    <col min="2303" max="2303" width="27.5546875" style="2" customWidth="1"/>
    <col min="2304" max="2304" width="10.5546875" style="2" customWidth="1"/>
    <col min="2305" max="2305" width="12" style="2" customWidth="1"/>
    <col min="2306" max="2306" width="63.44140625" style="2" customWidth="1"/>
    <col min="2307" max="2307" width="4.44140625" style="2" customWidth="1"/>
    <col min="2308" max="2308" width="12.109375" style="2" customWidth="1"/>
    <col min="2309" max="2309" width="0" style="2" hidden="1" customWidth="1"/>
    <col min="2310" max="2310" width="14.88671875" style="2" customWidth="1"/>
    <col min="2311" max="2311" width="15.109375" style="2" customWidth="1"/>
    <col min="2312" max="2312" width="14" style="2" customWidth="1"/>
    <col min="2313" max="2557" width="0.109375" style="2"/>
    <col min="2558" max="2558" width="2.109375" style="2" customWidth="1"/>
    <col min="2559" max="2559" width="27.5546875" style="2" customWidth="1"/>
    <col min="2560" max="2560" width="10.5546875" style="2" customWidth="1"/>
    <col min="2561" max="2561" width="12" style="2" customWidth="1"/>
    <col min="2562" max="2562" width="63.44140625" style="2" customWidth="1"/>
    <col min="2563" max="2563" width="4.44140625" style="2" customWidth="1"/>
    <col min="2564" max="2564" width="12.109375" style="2" customWidth="1"/>
    <col min="2565" max="2565" width="0" style="2" hidden="1" customWidth="1"/>
    <col min="2566" max="2566" width="14.88671875" style="2" customWidth="1"/>
    <col min="2567" max="2567" width="15.109375" style="2" customWidth="1"/>
    <col min="2568" max="2568" width="14" style="2" customWidth="1"/>
    <col min="2569" max="2813" width="0.109375" style="2"/>
    <col min="2814" max="2814" width="2.109375" style="2" customWidth="1"/>
    <col min="2815" max="2815" width="27.5546875" style="2" customWidth="1"/>
    <col min="2816" max="2816" width="10.5546875" style="2" customWidth="1"/>
    <col min="2817" max="2817" width="12" style="2" customWidth="1"/>
    <col min="2818" max="2818" width="63.44140625" style="2" customWidth="1"/>
    <col min="2819" max="2819" width="4.44140625" style="2" customWidth="1"/>
    <col min="2820" max="2820" width="12.109375" style="2" customWidth="1"/>
    <col min="2821" max="2821" width="0" style="2" hidden="1" customWidth="1"/>
    <col min="2822" max="2822" width="14.88671875" style="2" customWidth="1"/>
    <col min="2823" max="2823" width="15.109375" style="2" customWidth="1"/>
    <col min="2824" max="2824" width="14" style="2" customWidth="1"/>
    <col min="2825" max="3069" width="0.109375" style="2"/>
    <col min="3070" max="3070" width="2.109375" style="2" customWidth="1"/>
    <col min="3071" max="3071" width="27.5546875" style="2" customWidth="1"/>
    <col min="3072" max="3072" width="10.5546875" style="2" customWidth="1"/>
    <col min="3073" max="3073" width="12" style="2" customWidth="1"/>
    <col min="3074" max="3074" width="63.44140625" style="2" customWidth="1"/>
    <col min="3075" max="3075" width="4.44140625" style="2" customWidth="1"/>
    <col min="3076" max="3076" width="12.109375" style="2" customWidth="1"/>
    <col min="3077" max="3077" width="0" style="2" hidden="1" customWidth="1"/>
    <col min="3078" max="3078" width="14.88671875" style="2" customWidth="1"/>
    <col min="3079" max="3079" width="15.109375" style="2" customWidth="1"/>
    <col min="3080" max="3080" width="14" style="2" customWidth="1"/>
    <col min="3081" max="3325" width="0.109375" style="2"/>
    <col min="3326" max="3326" width="2.109375" style="2" customWidth="1"/>
    <col min="3327" max="3327" width="27.5546875" style="2" customWidth="1"/>
    <col min="3328" max="3328" width="10.5546875" style="2" customWidth="1"/>
    <col min="3329" max="3329" width="12" style="2" customWidth="1"/>
    <col min="3330" max="3330" width="63.44140625" style="2" customWidth="1"/>
    <col min="3331" max="3331" width="4.44140625" style="2" customWidth="1"/>
    <col min="3332" max="3332" width="12.109375" style="2" customWidth="1"/>
    <col min="3333" max="3333" width="0" style="2" hidden="1" customWidth="1"/>
    <col min="3334" max="3334" width="14.88671875" style="2" customWidth="1"/>
    <col min="3335" max="3335" width="15.109375" style="2" customWidth="1"/>
    <col min="3336" max="3336" width="14" style="2" customWidth="1"/>
    <col min="3337" max="3581" width="0.109375" style="2"/>
    <col min="3582" max="3582" width="2.109375" style="2" customWidth="1"/>
    <col min="3583" max="3583" width="27.5546875" style="2" customWidth="1"/>
    <col min="3584" max="3584" width="10.5546875" style="2" customWidth="1"/>
    <col min="3585" max="3585" width="12" style="2" customWidth="1"/>
    <col min="3586" max="3586" width="63.44140625" style="2" customWidth="1"/>
    <col min="3587" max="3587" width="4.44140625" style="2" customWidth="1"/>
    <col min="3588" max="3588" width="12.109375" style="2" customWidth="1"/>
    <col min="3589" max="3589" width="0" style="2" hidden="1" customWidth="1"/>
    <col min="3590" max="3590" width="14.88671875" style="2" customWidth="1"/>
    <col min="3591" max="3591" width="15.109375" style="2" customWidth="1"/>
    <col min="3592" max="3592" width="14" style="2" customWidth="1"/>
    <col min="3593" max="3837" width="0.109375" style="2"/>
    <col min="3838" max="3838" width="2.109375" style="2" customWidth="1"/>
    <col min="3839" max="3839" width="27.5546875" style="2" customWidth="1"/>
    <col min="3840" max="3840" width="10.5546875" style="2" customWidth="1"/>
    <col min="3841" max="3841" width="12" style="2" customWidth="1"/>
    <col min="3842" max="3842" width="63.44140625" style="2" customWidth="1"/>
    <col min="3843" max="3843" width="4.44140625" style="2" customWidth="1"/>
    <col min="3844" max="3844" width="12.109375" style="2" customWidth="1"/>
    <col min="3845" max="3845" width="0" style="2" hidden="1" customWidth="1"/>
    <col min="3846" max="3846" width="14.88671875" style="2" customWidth="1"/>
    <col min="3847" max="3847" width="15.109375" style="2" customWidth="1"/>
    <col min="3848" max="3848" width="14" style="2" customWidth="1"/>
    <col min="3849" max="4093" width="0.109375" style="2"/>
    <col min="4094" max="4094" width="2.109375" style="2" customWidth="1"/>
    <col min="4095" max="4095" width="27.5546875" style="2" customWidth="1"/>
    <col min="4096" max="4096" width="10.5546875" style="2" customWidth="1"/>
    <col min="4097" max="4097" width="12" style="2" customWidth="1"/>
    <col min="4098" max="4098" width="63.44140625" style="2" customWidth="1"/>
    <col min="4099" max="4099" width="4.44140625" style="2" customWidth="1"/>
    <col min="4100" max="4100" width="12.109375" style="2" customWidth="1"/>
    <col min="4101" max="4101" width="0" style="2" hidden="1" customWidth="1"/>
    <col min="4102" max="4102" width="14.88671875" style="2" customWidth="1"/>
    <col min="4103" max="4103" width="15.109375" style="2" customWidth="1"/>
    <col min="4104" max="4104" width="14" style="2" customWidth="1"/>
    <col min="4105" max="4349" width="0.109375" style="2"/>
    <col min="4350" max="4350" width="2.109375" style="2" customWidth="1"/>
    <col min="4351" max="4351" width="27.5546875" style="2" customWidth="1"/>
    <col min="4352" max="4352" width="10.5546875" style="2" customWidth="1"/>
    <col min="4353" max="4353" width="12" style="2" customWidth="1"/>
    <col min="4354" max="4354" width="63.44140625" style="2" customWidth="1"/>
    <col min="4355" max="4355" width="4.44140625" style="2" customWidth="1"/>
    <col min="4356" max="4356" width="12.109375" style="2" customWidth="1"/>
    <col min="4357" max="4357" width="0" style="2" hidden="1" customWidth="1"/>
    <col min="4358" max="4358" width="14.88671875" style="2" customWidth="1"/>
    <col min="4359" max="4359" width="15.109375" style="2" customWidth="1"/>
    <col min="4360" max="4360" width="14" style="2" customWidth="1"/>
    <col min="4361" max="4605" width="0.109375" style="2"/>
    <col min="4606" max="4606" width="2.109375" style="2" customWidth="1"/>
    <col min="4607" max="4607" width="27.5546875" style="2" customWidth="1"/>
    <col min="4608" max="4608" width="10.5546875" style="2" customWidth="1"/>
    <col min="4609" max="4609" width="12" style="2" customWidth="1"/>
    <col min="4610" max="4610" width="63.44140625" style="2" customWidth="1"/>
    <col min="4611" max="4611" width="4.44140625" style="2" customWidth="1"/>
    <col min="4612" max="4612" width="12.109375" style="2" customWidth="1"/>
    <col min="4613" max="4613" width="0" style="2" hidden="1" customWidth="1"/>
    <col min="4614" max="4614" width="14.88671875" style="2" customWidth="1"/>
    <col min="4615" max="4615" width="15.109375" style="2" customWidth="1"/>
    <col min="4616" max="4616" width="14" style="2" customWidth="1"/>
    <col min="4617" max="4861" width="0.109375" style="2"/>
    <col min="4862" max="4862" width="2.109375" style="2" customWidth="1"/>
    <col min="4863" max="4863" width="27.5546875" style="2" customWidth="1"/>
    <col min="4864" max="4864" width="10.5546875" style="2" customWidth="1"/>
    <col min="4865" max="4865" width="12" style="2" customWidth="1"/>
    <col min="4866" max="4866" width="63.44140625" style="2" customWidth="1"/>
    <col min="4867" max="4867" width="4.44140625" style="2" customWidth="1"/>
    <col min="4868" max="4868" width="12.109375" style="2" customWidth="1"/>
    <col min="4869" max="4869" width="0" style="2" hidden="1" customWidth="1"/>
    <col min="4870" max="4870" width="14.88671875" style="2" customWidth="1"/>
    <col min="4871" max="4871" width="15.109375" style="2" customWidth="1"/>
    <col min="4872" max="4872" width="14" style="2" customWidth="1"/>
    <col min="4873" max="5117" width="0.109375" style="2"/>
    <col min="5118" max="5118" width="2.109375" style="2" customWidth="1"/>
    <col min="5119" max="5119" width="27.5546875" style="2" customWidth="1"/>
    <col min="5120" max="5120" width="10.5546875" style="2" customWidth="1"/>
    <col min="5121" max="5121" width="12" style="2" customWidth="1"/>
    <col min="5122" max="5122" width="63.44140625" style="2" customWidth="1"/>
    <col min="5123" max="5123" width="4.44140625" style="2" customWidth="1"/>
    <col min="5124" max="5124" width="12.109375" style="2" customWidth="1"/>
    <col min="5125" max="5125" width="0" style="2" hidden="1" customWidth="1"/>
    <col min="5126" max="5126" width="14.88671875" style="2" customWidth="1"/>
    <col min="5127" max="5127" width="15.109375" style="2" customWidth="1"/>
    <col min="5128" max="5128" width="14" style="2" customWidth="1"/>
    <col min="5129" max="5373" width="0.109375" style="2"/>
    <col min="5374" max="5374" width="2.109375" style="2" customWidth="1"/>
    <col min="5375" max="5375" width="27.5546875" style="2" customWidth="1"/>
    <col min="5376" max="5376" width="10.5546875" style="2" customWidth="1"/>
    <col min="5377" max="5377" width="12" style="2" customWidth="1"/>
    <col min="5378" max="5378" width="63.44140625" style="2" customWidth="1"/>
    <col min="5379" max="5379" width="4.44140625" style="2" customWidth="1"/>
    <col min="5380" max="5380" width="12.109375" style="2" customWidth="1"/>
    <col min="5381" max="5381" width="0" style="2" hidden="1" customWidth="1"/>
    <col min="5382" max="5382" width="14.88671875" style="2" customWidth="1"/>
    <col min="5383" max="5383" width="15.109375" style="2" customWidth="1"/>
    <col min="5384" max="5384" width="14" style="2" customWidth="1"/>
    <col min="5385" max="5629" width="0.109375" style="2"/>
    <col min="5630" max="5630" width="2.109375" style="2" customWidth="1"/>
    <col min="5631" max="5631" width="27.5546875" style="2" customWidth="1"/>
    <col min="5632" max="5632" width="10.5546875" style="2" customWidth="1"/>
    <col min="5633" max="5633" width="12" style="2" customWidth="1"/>
    <col min="5634" max="5634" width="63.44140625" style="2" customWidth="1"/>
    <col min="5635" max="5635" width="4.44140625" style="2" customWidth="1"/>
    <col min="5636" max="5636" width="12.109375" style="2" customWidth="1"/>
    <col min="5637" max="5637" width="0" style="2" hidden="1" customWidth="1"/>
    <col min="5638" max="5638" width="14.88671875" style="2" customWidth="1"/>
    <col min="5639" max="5639" width="15.109375" style="2" customWidth="1"/>
    <col min="5640" max="5640" width="14" style="2" customWidth="1"/>
    <col min="5641" max="5885" width="0.109375" style="2"/>
    <col min="5886" max="5886" width="2.109375" style="2" customWidth="1"/>
    <col min="5887" max="5887" width="27.5546875" style="2" customWidth="1"/>
    <col min="5888" max="5888" width="10.5546875" style="2" customWidth="1"/>
    <col min="5889" max="5889" width="12" style="2" customWidth="1"/>
    <col min="5890" max="5890" width="63.44140625" style="2" customWidth="1"/>
    <col min="5891" max="5891" width="4.44140625" style="2" customWidth="1"/>
    <col min="5892" max="5892" width="12.109375" style="2" customWidth="1"/>
    <col min="5893" max="5893" width="0" style="2" hidden="1" customWidth="1"/>
    <col min="5894" max="5894" width="14.88671875" style="2" customWidth="1"/>
    <col min="5895" max="5895" width="15.109375" style="2" customWidth="1"/>
    <col min="5896" max="5896" width="14" style="2" customWidth="1"/>
    <col min="5897" max="6141" width="0.109375" style="2"/>
    <col min="6142" max="6142" width="2.109375" style="2" customWidth="1"/>
    <col min="6143" max="6143" width="27.5546875" style="2" customWidth="1"/>
    <col min="6144" max="6144" width="10.5546875" style="2" customWidth="1"/>
    <col min="6145" max="6145" width="12" style="2" customWidth="1"/>
    <col min="6146" max="6146" width="63.44140625" style="2" customWidth="1"/>
    <col min="6147" max="6147" width="4.44140625" style="2" customWidth="1"/>
    <col min="6148" max="6148" width="12.109375" style="2" customWidth="1"/>
    <col min="6149" max="6149" width="0" style="2" hidden="1" customWidth="1"/>
    <col min="6150" max="6150" width="14.88671875" style="2" customWidth="1"/>
    <col min="6151" max="6151" width="15.109375" style="2" customWidth="1"/>
    <col min="6152" max="6152" width="14" style="2" customWidth="1"/>
    <col min="6153" max="6397" width="0.109375" style="2"/>
    <col min="6398" max="6398" width="2.109375" style="2" customWidth="1"/>
    <col min="6399" max="6399" width="27.5546875" style="2" customWidth="1"/>
    <col min="6400" max="6400" width="10.5546875" style="2" customWidth="1"/>
    <col min="6401" max="6401" width="12" style="2" customWidth="1"/>
    <col min="6402" max="6402" width="63.44140625" style="2" customWidth="1"/>
    <col min="6403" max="6403" width="4.44140625" style="2" customWidth="1"/>
    <col min="6404" max="6404" width="12.109375" style="2" customWidth="1"/>
    <col min="6405" max="6405" width="0" style="2" hidden="1" customWidth="1"/>
    <col min="6406" max="6406" width="14.88671875" style="2" customWidth="1"/>
    <col min="6407" max="6407" width="15.109375" style="2" customWidth="1"/>
    <col min="6408" max="6408" width="14" style="2" customWidth="1"/>
    <col min="6409" max="6653" width="0.109375" style="2"/>
    <col min="6654" max="6654" width="2.109375" style="2" customWidth="1"/>
    <col min="6655" max="6655" width="27.5546875" style="2" customWidth="1"/>
    <col min="6656" max="6656" width="10.5546875" style="2" customWidth="1"/>
    <col min="6657" max="6657" width="12" style="2" customWidth="1"/>
    <col min="6658" max="6658" width="63.44140625" style="2" customWidth="1"/>
    <col min="6659" max="6659" width="4.44140625" style="2" customWidth="1"/>
    <col min="6660" max="6660" width="12.109375" style="2" customWidth="1"/>
    <col min="6661" max="6661" width="0" style="2" hidden="1" customWidth="1"/>
    <col min="6662" max="6662" width="14.88671875" style="2" customWidth="1"/>
    <col min="6663" max="6663" width="15.109375" style="2" customWidth="1"/>
    <col min="6664" max="6664" width="14" style="2" customWidth="1"/>
    <col min="6665" max="6909" width="0.109375" style="2"/>
    <col min="6910" max="6910" width="2.109375" style="2" customWidth="1"/>
    <col min="6911" max="6911" width="27.5546875" style="2" customWidth="1"/>
    <col min="6912" max="6912" width="10.5546875" style="2" customWidth="1"/>
    <col min="6913" max="6913" width="12" style="2" customWidth="1"/>
    <col min="6914" max="6914" width="63.44140625" style="2" customWidth="1"/>
    <col min="6915" max="6915" width="4.44140625" style="2" customWidth="1"/>
    <col min="6916" max="6916" width="12.109375" style="2" customWidth="1"/>
    <col min="6917" max="6917" width="0" style="2" hidden="1" customWidth="1"/>
    <col min="6918" max="6918" width="14.88671875" style="2" customWidth="1"/>
    <col min="6919" max="6919" width="15.109375" style="2" customWidth="1"/>
    <col min="6920" max="6920" width="14" style="2" customWidth="1"/>
    <col min="6921" max="7165" width="0.109375" style="2"/>
    <col min="7166" max="7166" width="2.109375" style="2" customWidth="1"/>
    <col min="7167" max="7167" width="27.5546875" style="2" customWidth="1"/>
    <col min="7168" max="7168" width="10.5546875" style="2" customWidth="1"/>
    <col min="7169" max="7169" width="12" style="2" customWidth="1"/>
    <col min="7170" max="7170" width="63.44140625" style="2" customWidth="1"/>
    <col min="7171" max="7171" width="4.44140625" style="2" customWidth="1"/>
    <col min="7172" max="7172" width="12.109375" style="2" customWidth="1"/>
    <col min="7173" max="7173" width="0" style="2" hidden="1" customWidth="1"/>
    <col min="7174" max="7174" width="14.88671875" style="2" customWidth="1"/>
    <col min="7175" max="7175" width="15.109375" style="2" customWidth="1"/>
    <col min="7176" max="7176" width="14" style="2" customWidth="1"/>
    <col min="7177" max="7421" width="0.109375" style="2"/>
    <col min="7422" max="7422" width="2.109375" style="2" customWidth="1"/>
    <col min="7423" max="7423" width="27.5546875" style="2" customWidth="1"/>
    <col min="7424" max="7424" width="10.5546875" style="2" customWidth="1"/>
    <col min="7425" max="7425" width="12" style="2" customWidth="1"/>
    <col min="7426" max="7426" width="63.44140625" style="2" customWidth="1"/>
    <col min="7427" max="7427" width="4.44140625" style="2" customWidth="1"/>
    <col min="7428" max="7428" width="12.109375" style="2" customWidth="1"/>
    <col min="7429" max="7429" width="0" style="2" hidden="1" customWidth="1"/>
    <col min="7430" max="7430" width="14.88671875" style="2" customWidth="1"/>
    <col min="7431" max="7431" width="15.109375" style="2" customWidth="1"/>
    <col min="7432" max="7432" width="14" style="2" customWidth="1"/>
    <col min="7433" max="7677" width="0.109375" style="2"/>
    <col min="7678" max="7678" width="2.109375" style="2" customWidth="1"/>
    <col min="7679" max="7679" width="27.5546875" style="2" customWidth="1"/>
    <col min="7680" max="7680" width="10.5546875" style="2" customWidth="1"/>
    <col min="7681" max="7681" width="12" style="2" customWidth="1"/>
    <col min="7682" max="7682" width="63.44140625" style="2" customWidth="1"/>
    <col min="7683" max="7683" width="4.44140625" style="2" customWidth="1"/>
    <col min="7684" max="7684" width="12.109375" style="2" customWidth="1"/>
    <col min="7685" max="7685" width="0" style="2" hidden="1" customWidth="1"/>
    <col min="7686" max="7686" width="14.88671875" style="2" customWidth="1"/>
    <col min="7687" max="7687" width="15.109375" style="2" customWidth="1"/>
    <col min="7688" max="7688" width="14" style="2" customWidth="1"/>
    <col min="7689" max="7933" width="0.109375" style="2"/>
    <col min="7934" max="7934" width="2.109375" style="2" customWidth="1"/>
    <col min="7935" max="7935" width="27.5546875" style="2" customWidth="1"/>
    <col min="7936" max="7936" width="10.5546875" style="2" customWidth="1"/>
    <col min="7937" max="7937" width="12" style="2" customWidth="1"/>
    <col min="7938" max="7938" width="63.44140625" style="2" customWidth="1"/>
    <col min="7939" max="7939" width="4.44140625" style="2" customWidth="1"/>
    <col min="7940" max="7940" width="12.109375" style="2" customWidth="1"/>
    <col min="7941" max="7941" width="0" style="2" hidden="1" customWidth="1"/>
    <col min="7942" max="7942" width="14.88671875" style="2" customWidth="1"/>
    <col min="7943" max="7943" width="15.109375" style="2" customWidth="1"/>
    <col min="7944" max="7944" width="14" style="2" customWidth="1"/>
    <col min="7945" max="8189" width="0.109375" style="2"/>
    <col min="8190" max="8190" width="2.109375" style="2" customWidth="1"/>
    <col min="8191" max="8191" width="27.5546875" style="2" customWidth="1"/>
    <col min="8192" max="8192" width="10.5546875" style="2" customWidth="1"/>
    <col min="8193" max="8193" width="12" style="2" customWidth="1"/>
    <col min="8194" max="8194" width="63.44140625" style="2" customWidth="1"/>
    <col min="8195" max="8195" width="4.44140625" style="2" customWidth="1"/>
    <col min="8196" max="8196" width="12.109375" style="2" customWidth="1"/>
    <col min="8197" max="8197" width="0" style="2" hidden="1" customWidth="1"/>
    <col min="8198" max="8198" width="14.88671875" style="2" customWidth="1"/>
    <col min="8199" max="8199" width="15.109375" style="2" customWidth="1"/>
    <col min="8200" max="8200" width="14" style="2" customWidth="1"/>
    <col min="8201" max="8445" width="0.109375" style="2"/>
    <col min="8446" max="8446" width="2.109375" style="2" customWidth="1"/>
    <col min="8447" max="8447" width="27.5546875" style="2" customWidth="1"/>
    <col min="8448" max="8448" width="10.5546875" style="2" customWidth="1"/>
    <col min="8449" max="8449" width="12" style="2" customWidth="1"/>
    <col min="8450" max="8450" width="63.44140625" style="2" customWidth="1"/>
    <col min="8451" max="8451" width="4.44140625" style="2" customWidth="1"/>
    <col min="8452" max="8452" width="12.109375" style="2" customWidth="1"/>
    <col min="8453" max="8453" width="0" style="2" hidden="1" customWidth="1"/>
    <col min="8454" max="8454" width="14.88671875" style="2" customWidth="1"/>
    <col min="8455" max="8455" width="15.109375" style="2" customWidth="1"/>
    <col min="8456" max="8456" width="14" style="2" customWidth="1"/>
    <col min="8457" max="8701" width="0.109375" style="2"/>
    <col min="8702" max="8702" width="2.109375" style="2" customWidth="1"/>
    <col min="8703" max="8703" width="27.5546875" style="2" customWidth="1"/>
    <col min="8704" max="8704" width="10.5546875" style="2" customWidth="1"/>
    <col min="8705" max="8705" width="12" style="2" customWidth="1"/>
    <col min="8706" max="8706" width="63.44140625" style="2" customWidth="1"/>
    <col min="8707" max="8707" width="4.44140625" style="2" customWidth="1"/>
    <col min="8708" max="8708" width="12.109375" style="2" customWidth="1"/>
    <col min="8709" max="8709" width="0" style="2" hidden="1" customWidth="1"/>
    <col min="8710" max="8710" width="14.88671875" style="2" customWidth="1"/>
    <col min="8711" max="8711" width="15.109375" style="2" customWidth="1"/>
    <col min="8712" max="8712" width="14" style="2" customWidth="1"/>
    <col min="8713" max="8957" width="0.109375" style="2"/>
    <col min="8958" max="8958" width="2.109375" style="2" customWidth="1"/>
    <col min="8959" max="8959" width="27.5546875" style="2" customWidth="1"/>
    <col min="8960" max="8960" width="10.5546875" style="2" customWidth="1"/>
    <col min="8961" max="8961" width="12" style="2" customWidth="1"/>
    <col min="8962" max="8962" width="63.44140625" style="2" customWidth="1"/>
    <col min="8963" max="8963" width="4.44140625" style="2" customWidth="1"/>
    <col min="8964" max="8964" width="12.109375" style="2" customWidth="1"/>
    <col min="8965" max="8965" width="0" style="2" hidden="1" customWidth="1"/>
    <col min="8966" max="8966" width="14.88671875" style="2" customWidth="1"/>
    <col min="8967" max="8967" width="15.109375" style="2" customWidth="1"/>
    <col min="8968" max="8968" width="14" style="2" customWidth="1"/>
    <col min="8969" max="9213" width="0.109375" style="2"/>
    <col min="9214" max="9214" width="2.109375" style="2" customWidth="1"/>
    <col min="9215" max="9215" width="27.5546875" style="2" customWidth="1"/>
    <col min="9216" max="9216" width="10.5546875" style="2" customWidth="1"/>
    <col min="9217" max="9217" width="12" style="2" customWidth="1"/>
    <col min="9218" max="9218" width="63.44140625" style="2" customWidth="1"/>
    <col min="9219" max="9219" width="4.44140625" style="2" customWidth="1"/>
    <col min="9220" max="9220" width="12.109375" style="2" customWidth="1"/>
    <col min="9221" max="9221" width="0" style="2" hidden="1" customWidth="1"/>
    <col min="9222" max="9222" width="14.88671875" style="2" customWidth="1"/>
    <col min="9223" max="9223" width="15.109375" style="2" customWidth="1"/>
    <col min="9224" max="9224" width="14" style="2" customWidth="1"/>
    <col min="9225" max="9469" width="0.109375" style="2"/>
    <col min="9470" max="9470" width="2.109375" style="2" customWidth="1"/>
    <col min="9471" max="9471" width="27.5546875" style="2" customWidth="1"/>
    <col min="9472" max="9472" width="10.5546875" style="2" customWidth="1"/>
    <col min="9473" max="9473" width="12" style="2" customWidth="1"/>
    <col min="9474" max="9474" width="63.44140625" style="2" customWidth="1"/>
    <col min="9475" max="9475" width="4.44140625" style="2" customWidth="1"/>
    <col min="9476" max="9476" width="12.109375" style="2" customWidth="1"/>
    <col min="9477" max="9477" width="0" style="2" hidden="1" customWidth="1"/>
    <col min="9478" max="9478" width="14.88671875" style="2" customWidth="1"/>
    <col min="9479" max="9479" width="15.109375" style="2" customWidth="1"/>
    <col min="9480" max="9480" width="14" style="2" customWidth="1"/>
    <col min="9481" max="9725" width="0.109375" style="2"/>
    <col min="9726" max="9726" width="2.109375" style="2" customWidth="1"/>
    <col min="9727" max="9727" width="27.5546875" style="2" customWidth="1"/>
    <col min="9728" max="9728" width="10.5546875" style="2" customWidth="1"/>
    <col min="9729" max="9729" width="12" style="2" customWidth="1"/>
    <col min="9730" max="9730" width="63.44140625" style="2" customWidth="1"/>
    <col min="9731" max="9731" width="4.44140625" style="2" customWidth="1"/>
    <col min="9732" max="9732" width="12.109375" style="2" customWidth="1"/>
    <col min="9733" max="9733" width="0" style="2" hidden="1" customWidth="1"/>
    <col min="9734" max="9734" width="14.88671875" style="2" customWidth="1"/>
    <col min="9735" max="9735" width="15.109375" style="2" customWidth="1"/>
    <col min="9736" max="9736" width="14" style="2" customWidth="1"/>
    <col min="9737" max="9981" width="0.109375" style="2"/>
    <col min="9982" max="9982" width="2.109375" style="2" customWidth="1"/>
    <col min="9983" max="9983" width="27.5546875" style="2" customWidth="1"/>
    <col min="9984" max="9984" width="10.5546875" style="2" customWidth="1"/>
    <col min="9985" max="9985" width="12" style="2" customWidth="1"/>
    <col min="9986" max="9986" width="63.44140625" style="2" customWidth="1"/>
    <col min="9987" max="9987" width="4.44140625" style="2" customWidth="1"/>
    <col min="9988" max="9988" width="12.109375" style="2" customWidth="1"/>
    <col min="9989" max="9989" width="0" style="2" hidden="1" customWidth="1"/>
    <col min="9990" max="9990" width="14.88671875" style="2" customWidth="1"/>
    <col min="9991" max="9991" width="15.109375" style="2" customWidth="1"/>
    <col min="9992" max="9992" width="14" style="2" customWidth="1"/>
    <col min="9993" max="10237" width="0.109375" style="2"/>
    <col min="10238" max="10238" width="2.109375" style="2" customWidth="1"/>
    <col min="10239" max="10239" width="27.5546875" style="2" customWidth="1"/>
    <col min="10240" max="10240" width="10.5546875" style="2" customWidth="1"/>
    <col min="10241" max="10241" width="12" style="2" customWidth="1"/>
    <col min="10242" max="10242" width="63.44140625" style="2" customWidth="1"/>
    <col min="10243" max="10243" width="4.44140625" style="2" customWidth="1"/>
    <col min="10244" max="10244" width="12.109375" style="2" customWidth="1"/>
    <col min="10245" max="10245" width="0" style="2" hidden="1" customWidth="1"/>
    <col min="10246" max="10246" width="14.88671875" style="2" customWidth="1"/>
    <col min="10247" max="10247" width="15.109375" style="2" customWidth="1"/>
    <col min="10248" max="10248" width="14" style="2" customWidth="1"/>
    <col min="10249" max="10493" width="0.109375" style="2"/>
    <col min="10494" max="10494" width="2.109375" style="2" customWidth="1"/>
    <col min="10495" max="10495" width="27.5546875" style="2" customWidth="1"/>
    <col min="10496" max="10496" width="10.5546875" style="2" customWidth="1"/>
    <col min="10497" max="10497" width="12" style="2" customWidth="1"/>
    <col min="10498" max="10498" width="63.44140625" style="2" customWidth="1"/>
    <col min="10499" max="10499" width="4.44140625" style="2" customWidth="1"/>
    <col min="10500" max="10500" width="12.109375" style="2" customWidth="1"/>
    <col min="10501" max="10501" width="0" style="2" hidden="1" customWidth="1"/>
    <col min="10502" max="10502" width="14.88671875" style="2" customWidth="1"/>
    <col min="10503" max="10503" width="15.109375" style="2" customWidth="1"/>
    <col min="10504" max="10504" width="14" style="2" customWidth="1"/>
    <col min="10505" max="10749" width="0.109375" style="2"/>
    <col min="10750" max="10750" width="2.109375" style="2" customWidth="1"/>
    <col min="10751" max="10751" width="27.5546875" style="2" customWidth="1"/>
    <col min="10752" max="10752" width="10.5546875" style="2" customWidth="1"/>
    <col min="10753" max="10753" width="12" style="2" customWidth="1"/>
    <col min="10754" max="10754" width="63.44140625" style="2" customWidth="1"/>
    <col min="10755" max="10755" width="4.44140625" style="2" customWidth="1"/>
    <col min="10756" max="10756" width="12.109375" style="2" customWidth="1"/>
    <col min="10757" max="10757" width="0" style="2" hidden="1" customWidth="1"/>
    <col min="10758" max="10758" width="14.88671875" style="2" customWidth="1"/>
    <col min="10759" max="10759" width="15.109375" style="2" customWidth="1"/>
    <col min="10760" max="10760" width="14" style="2" customWidth="1"/>
    <col min="10761" max="11005" width="0.109375" style="2"/>
    <col min="11006" max="11006" width="2.109375" style="2" customWidth="1"/>
    <col min="11007" max="11007" width="27.5546875" style="2" customWidth="1"/>
    <col min="11008" max="11008" width="10.5546875" style="2" customWidth="1"/>
    <col min="11009" max="11009" width="12" style="2" customWidth="1"/>
    <col min="11010" max="11010" width="63.44140625" style="2" customWidth="1"/>
    <col min="11011" max="11011" width="4.44140625" style="2" customWidth="1"/>
    <col min="11012" max="11012" width="12.109375" style="2" customWidth="1"/>
    <col min="11013" max="11013" width="0" style="2" hidden="1" customWidth="1"/>
    <col min="11014" max="11014" width="14.88671875" style="2" customWidth="1"/>
    <col min="11015" max="11015" width="15.109375" style="2" customWidth="1"/>
    <col min="11016" max="11016" width="14" style="2" customWidth="1"/>
    <col min="11017" max="11261" width="0.109375" style="2"/>
    <col min="11262" max="11262" width="2.109375" style="2" customWidth="1"/>
    <col min="11263" max="11263" width="27.5546875" style="2" customWidth="1"/>
    <col min="11264" max="11264" width="10.5546875" style="2" customWidth="1"/>
    <col min="11265" max="11265" width="12" style="2" customWidth="1"/>
    <col min="11266" max="11266" width="63.44140625" style="2" customWidth="1"/>
    <col min="11267" max="11267" width="4.44140625" style="2" customWidth="1"/>
    <col min="11268" max="11268" width="12.109375" style="2" customWidth="1"/>
    <col min="11269" max="11269" width="0" style="2" hidden="1" customWidth="1"/>
    <col min="11270" max="11270" width="14.88671875" style="2" customWidth="1"/>
    <col min="11271" max="11271" width="15.109375" style="2" customWidth="1"/>
    <col min="11272" max="11272" width="14" style="2" customWidth="1"/>
    <col min="11273" max="11517" width="0.109375" style="2"/>
    <col min="11518" max="11518" width="2.109375" style="2" customWidth="1"/>
    <col min="11519" max="11519" width="27.5546875" style="2" customWidth="1"/>
    <col min="11520" max="11520" width="10.5546875" style="2" customWidth="1"/>
    <col min="11521" max="11521" width="12" style="2" customWidth="1"/>
    <col min="11522" max="11522" width="63.44140625" style="2" customWidth="1"/>
    <col min="11523" max="11523" width="4.44140625" style="2" customWidth="1"/>
    <col min="11524" max="11524" width="12.109375" style="2" customWidth="1"/>
    <col min="11525" max="11525" width="0" style="2" hidden="1" customWidth="1"/>
    <col min="11526" max="11526" width="14.88671875" style="2" customWidth="1"/>
    <col min="11527" max="11527" width="15.109375" style="2" customWidth="1"/>
    <col min="11528" max="11528" width="14" style="2" customWidth="1"/>
    <col min="11529" max="11773" width="0.109375" style="2"/>
    <col min="11774" max="11774" width="2.109375" style="2" customWidth="1"/>
    <col min="11775" max="11775" width="27.5546875" style="2" customWidth="1"/>
    <col min="11776" max="11776" width="10.5546875" style="2" customWidth="1"/>
    <col min="11777" max="11777" width="12" style="2" customWidth="1"/>
    <col min="11778" max="11778" width="63.44140625" style="2" customWidth="1"/>
    <col min="11779" max="11779" width="4.44140625" style="2" customWidth="1"/>
    <col min="11780" max="11780" width="12.109375" style="2" customWidth="1"/>
    <col min="11781" max="11781" width="0" style="2" hidden="1" customWidth="1"/>
    <col min="11782" max="11782" width="14.88671875" style="2" customWidth="1"/>
    <col min="11783" max="11783" width="15.109375" style="2" customWidth="1"/>
    <col min="11784" max="11784" width="14" style="2" customWidth="1"/>
    <col min="11785" max="12029" width="0.109375" style="2"/>
    <col min="12030" max="12030" width="2.109375" style="2" customWidth="1"/>
    <col min="12031" max="12031" width="27.5546875" style="2" customWidth="1"/>
    <col min="12032" max="12032" width="10.5546875" style="2" customWidth="1"/>
    <col min="12033" max="12033" width="12" style="2" customWidth="1"/>
    <col min="12034" max="12034" width="63.44140625" style="2" customWidth="1"/>
    <col min="12035" max="12035" width="4.44140625" style="2" customWidth="1"/>
    <col min="12036" max="12036" width="12.109375" style="2" customWidth="1"/>
    <col min="12037" max="12037" width="0" style="2" hidden="1" customWidth="1"/>
    <col min="12038" max="12038" width="14.88671875" style="2" customWidth="1"/>
    <col min="12039" max="12039" width="15.109375" style="2" customWidth="1"/>
    <col min="12040" max="12040" width="14" style="2" customWidth="1"/>
    <col min="12041" max="12285" width="0.109375" style="2"/>
    <col min="12286" max="12286" width="2.109375" style="2" customWidth="1"/>
    <col min="12287" max="12287" width="27.5546875" style="2" customWidth="1"/>
    <col min="12288" max="12288" width="10.5546875" style="2" customWidth="1"/>
    <col min="12289" max="12289" width="12" style="2" customWidth="1"/>
    <col min="12290" max="12290" width="63.44140625" style="2" customWidth="1"/>
    <col min="12291" max="12291" width="4.44140625" style="2" customWidth="1"/>
    <col min="12292" max="12292" width="12.109375" style="2" customWidth="1"/>
    <col min="12293" max="12293" width="0" style="2" hidden="1" customWidth="1"/>
    <col min="12294" max="12294" width="14.88671875" style="2" customWidth="1"/>
    <col min="12295" max="12295" width="15.109375" style="2" customWidth="1"/>
    <col min="12296" max="12296" width="14" style="2" customWidth="1"/>
    <col min="12297" max="12541" width="0.109375" style="2"/>
    <col min="12542" max="12542" width="2.109375" style="2" customWidth="1"/>
    <col min="12543" max="12543" width="27.5546875" style="2" customWidth="1"/>
    <col min="12544" max="12544" width="10.5546875" style="2" customWidth="1"/>
    <col min="12545" max="12545" width="12" style="2" customWidth="1"/>
    <col min="12546" max="12546" width="63.44140625" style="2" customWidth="1"/>
    <col min="12547" max="12547" width="4.44140625" style="2" customWidth="1"/>
    <col min="12548" max="12548" width="12.109375" style="2" customWidth="1"/>
    <col min="12549" max="12549" width="0" style="2" hidden="1" customWidth="1"/>
    <col min="12550" max="12550" width="14.88671875" style="2" customWidth="1"/>
    <col min="12551" max="12551" width="15.109375" style="2" customWidth="1"/>
    <col min="12552" max="12552" width="14" style="2" customWidth="1"/>
    <col min="12553" max="12797" width="0.109375" style="2"/>
    <col min="12798" max="12798" width="2.109375" style="2" customWidth="1"/>
    <col min="12799" max="12799" width="27.5546875" style="2" customWidth="1"/>
    <col min="12800" max="12800" width="10.5546875" style="2" customWidth="1"/>
    <col min="12801" max="12801" width="12" style="2" customWidth="1"/>
    <col min="12802" max="12802" width="63.44140625" style="2" customWidth="1"/>
    <col min="12803" max="12803" width="4.44140625" style="2" customWidth="1"/>
    <col min="12804" max="12804" width="12.109375" style="2" customWidth="1"/>
    <col min="12805" max="12805" width="0" style="2" hidden="1" customWidth="1"/>
    <col min="12806" max="12806" width="14.88671875" style="2" customWidth="1"/>
    <col min="12807" max="12807" width="15.109375" style="2" customWidth="1"/>
    <col min="12808" max="12808" width="14" style="2" customWidth="1"/>
    <col min="12809" max="13053" width="0.109375" style="2"/>
    <col min="13054" max="13054" width="2.109375" style="2" customWidth="1"/>
    <col min="13055" max="13055" width="27.5546875" style="2" customWidth="1"/>
    <col min="13056" max="13056" width="10.5546875" style="2" customWidth="1"/>
    <col min="13057" max="13057" width="12" style="2" customWidth="1"/>
    <col min="13058" max="13058" width="63.44140625" style="2" customWidth="1"/>
    <col min="13059" max="13059" width="4.44140625" style="2" customWidth="1"/>
    <col min="13060" max="13060" width="12.109375" style="2" customWidth="1"/>
    <col min="13061" max="13061" width="0" style="2" hidden="1" customWidth="1"/>
    <col min="13062" max="13062" width="14.88671875" style="2" customWidth="1"/>
    <col min="13063" max="13063" width="15.109375" style="2" customWidth="1"/>
    <col min="13064" max="13064" width="14" style="2" customWidth="1"/>
    <col min="13065" max="13309" width="0.109375" style="2"/>
    <col min="13310" max="13310" width="2.109375" style="2" customWidth="1"/>
    <col min="13311" max="13311" width="27.5546875" style="2" customWidth="1"/>
    <col min="13312" max="13312" width="10.5546875" style="2" customWidth="1"/>
    <col min="13313" max="13313" width="12" style="2" customWidth="1"/>
    <col min="13314" max="13314" width="63.44140625" style="2" customWidth="1"/>
    <col min="13315" max="13315" width="4.44140625" style="2" customWidth="1"/>
    <col min="13316" max="13316" width="12.109375" style="2" customWidth="1"/>
    <col min="13317" max="13317" width="0" style="2" hidden="1" customWidth="1"/>
    <col min="13318" max="13318" width="14.88671875" style="2" customWidth="1"/>
    <col min="13319" max="13319" width="15.109375" style="2" customWidth="1"/>
    <col min="13320" max="13320" width="14" style="2" customWidth="1"/>
    <col min="13321" max="13565" width="0.109375" style="2"/>
    <col min="13566" max="13566" width="2.109375" style="2" customWidth="1"/>
    <col min="13567" max="13567" width="27.5546875" style="2" customWidth="1"/>
    <col min="13568" max="13568" width="10.5546875" style="2" customWidth="1"/>
    <col min="13569" max="13569" width="12" style="2" customWidth="1"/>
    <col min="13570" max="13570" width="63.44140625" style="2" customWidth="1"/>
    <col min="13571" max="13571" width="4.44140625" style="2" customWidth="1"/>
    <col min="13572" max="13572" width="12.109375" style="2" customWidth="1"/>
    <col min="13573" max="13573" width="0" style="2" hidden="1" customWidth="1"/>
    <col min="13574" max="13574" width="14.88671875" style="2" customWidth="1"/>
    <col min="13575" max="13575" width="15.109375" style="2" customWidth="1"/>
    <col min="13576" max="13576" width="14" style="2" customWidth="1"/>
    <col min="13577" max="13821" width="0.109375" style="2"/>
    <col min="13822" max="13822" width="2.109375" style="2" customWidth="1"/>
    <col min="13823" max="13823" width="27.5546875" style="2" customWidth="1"/>
    <col min="13824" max="13824" width="10.5546875" style="2" customWidth="1"/>
    <col min="13825" max="13825" width="12" style="2" customWidth="1"/>
    <col min="13826" max="13826" width="63.44140625" style="2" customWidth="1"/>
    <col min="13827" max="13827" width="4.44140625" style="2" customWidth="1"/>
    <col min="13828" max="13828" width="12.109375" style="2" customWidth="1"/>
    <col min="13829" max="13829" width="0" style="2" hidden="1" customWidth="1"/>
    <col min="13830" max="13830" width="14.88671875" style="2" customWidth="1"/>
    <col min="13831" max="13831" width="15.109375" style="2" customWidth="1"/>
    <col min="13832" max="13832" width="14" style="2" customWidth="1"/>
    <col min="13833" max="14077" width="0.109375" style="2"/>
    <col min="14078" max="14078" width="2.109375" style="2" customWidth="1"/>
    <col min="14079" max="14079" width="27.5546875" style="2" customWidth="1"/>
    <col min="14080" max="14080" width="10.5546875" style="2" customWidth="1"/>
    <col min="14081" max="14081" width="12" style="2" customWidth="1"/>
    <col min="14082" max="14082" width="63.44140625" style="2" customWidth="1"/>
    <col min="14083" max="14083" width="4.44140625" style="2" customWidth="1"/>
    <col min="14084" max="14084" width="12.109375" style="2" customWidth="1"/>
    <col min="14085" max="14085" width="0" style="2" hidden="1" customWidth="1"/>
    <col min="14086" max="14086" width="14.88671875" style="2" customWidth="1"/>
    <col min="14087" max="14087" width="15.109375" style="2" customWidth="1"/>
    <col min="14088" max="14088" width="14" style="2" customWidth="1"/>
    <col min="14089" max="14333" width="0.109375" style="2"/>
    <col min="14334" max="14334" width="2.109375" style="2" customWidth="1"/>
    <col min="14335" max="14335" width="27.5546875" style="2" customWidth="1"/>
    <col min="14336" max="14336" width="10.5546875" style="2" customWidth="1"/>
    <col min="14337" max="14337" width="12" style="2" customWidth="1"/>
    <col min="14338" max="14338" width="63.44140625" style="2" customWidth="1"/>
    <col min="14339" max="14339" width="4.44140625" style="2" customWidth="1"/>
    <col min="14340" max="14340" width="12.109375" style="2" customWidth="1"/>
    <col min="14341" max="14341" width="0" style="2" hidden="1" customWidth="1"/>
    <col min="14342" max="14342" width="14.88671875" style="2" customWidth="1"/>
    <col min="14343" max="14343" width="15.109375" style="2" customWidth="1"/>
    <col min="14344" max="14344" width="14" style="2" customWidth="1"/>
    <col min="14345" max="14589" width="0.109375" style="2"/>
    <col min="14590" max="14590" width="2.109375" style="2" customWidth="1"/>
    <col min="14591" max="14591" width="27.5546875" style="2" customWidth="1"/>
    <col min="14592" max="14592" width="10.5546875" style="2" customWidth="1"/>
    <col min="14593" max="14593" width="12" style="2" customWidth="1"/>
    <col min="14594" max="14594" width="63.44140625" style="2" customWidth="1"/>
    <col min="14595" max="14595" width="4.44140625" style="2" customWidth="1"/>
    <col min="14596" max="14596" width="12.109375" style="2" customWidth="1"/>
    <col min="14597" max="14597" width="0" style="2" hidden="1" customWidth="1"/>
    <col min="14598" max="14598" width="14.88671875" style="2" customWidth="1"/>
    <col min="14599" max="14599" width="15.109375" style="2" customWidth="1"/>
    <col min="14600" max="14600" width="14" style="2" customWidth="1"/>
    <col min="14601" max="14845" width="0.109375" style="2"/>
    <col min="14846" max="14846" width="2.109375" style="2" customWidth="1"/>
    <col min="14847" max="14847" width="27.5546875" style="2" customWidth="1"/>
    <col min="14848" max="14848" width="10.5546875" style="2" customWidth="1"/>
    <col min="14849" max="14849" width="12" style="2" customWidth="1"/>
    <col min="14850" max="14850" width="63.44140625" style="2" customWidth="1"/>
    <col min="14851" max="14851" width="4.44140625" style="2" customWidth="1"/>
    <col min="14852" max="14852" width="12.109375" style="2" customWidth="1"/>
    <col min="14853" max="14853" width="0" style="2" hidden="1" customWidth="1"/>
    <col min="14854" max="14854" width="14.88671875" style="2" customWidth="1"/>
    <col min="14855" max="14855" width="15.109375" style="2" customWidth="1"/>
    <col min="14856" max="14856" width="14" style="2" customWidth="1"/>
    <col min="14857" max="15101" width="0.109375" style="2"/>
    <col min="15102" max="15102" width="2.109375" style="2" customWidth="1"/>
    <col min="15103" max="15103" width="27.5546875" style="2" customWidth="1"/>
    <col min="15104" max="15104" width="10.5546875" style="2" customWidth="1"/>
    <col min="15105" max="15105" width="12" style="2" customWidth="1"/>
    <col min="15106" max="15106" width="63.44140625" style="2" customWidth="1"/>
    <col min="15107" max="15107" width="4.44140625" style="2" customWidth="1"/>
    <col min="15108" max="15108" width="12.109375" style="2" customWidth="1"/>
    <col min="15109" max="15109" width="0" style="2" hidden="1" customWidth="1"/>
    <col min="15110" max="15110" width="14.88671875" style="2" customWidth="1"/>
    <col min="15111" max="15111" width="15.109375" style="2" customWidth="1"/>
    <col min="15112" max="15112" width="14" style="2" customWidth="1"/>
    <col min="15113" max="15357" width="0.109375" style="2"/>
    <col min="15358" max="15358" width="2.109375" style="2" customWidth="1"/>
    <col min="15359" max="15359" width="27.5546875" style="2" customWidth="1"/>
    <col min="15360" max="15360" width="10.5546875" style="2" customWidth="1"/>
    <col min="15361" max="15361" width="12" style="2" customWidth="1"/>
    <col min="15362" max="15362" width="63.44140625" style="2" customWidth="1"/>
    <col min="15363" max="15363" width="4.44140625" style="2" customWidth="1"/>
    <col min="15364" max="15364" width="12.109375" style="2" customWidth="1"/>
    <col min="15365" max="15365" width="0" style="2" hidden="1" customWidth="1"/>
    <col min="15366" max="15366" width="14.88671875" style="2" customWidth="1"/>
    <col min="15367" max="15367" width="15.109375" style="2" customWidth="1"/>
    <col min="15368" max="15368" width="14" style="2" customWidth="1"/>
    <col min="15369" max="15613" width="0.109375" style="2"/>
    <col min="15614" max="15614" width="2.109375" style="2" customWidth="1"/>
    <col min="15615" max="15615" width="27.5546875" style="2" customWidth="1"/>
    <col min="15616" max="15616" width="10.5546875" style="2" customWidth="1"/>
    <col min="15617" max="15617" width="12" style="2" customWidth="1"/>
    <col min="15618" max="15618" width="63.44140625" style="2" customWidth="1"/>
    <col min="15619" max="15619" width="4.44140625" style="2" customWidth="1"/>
    <col min="15620" max="15620" width="12.109375" style="2" customWidth="1"/>
    <col min="15621" max="15621" width="0" style="2" hidden="1" customWidth="1"/>
    <col min="15622" max="15622" width="14.88671875" style="2" customWidth="1"/>
    <col min="15623" max="15623" width="15.109375" style="2" customWidth="1"/>
    <col min="15624" max="15624" width="14" style="2" customWidth="1"/>
    <col min="15625" max="15869" width="0.109375" style="2"/>
    <col min="15870" max="15870" width="2.109375" style="2" customWidth="1"/>
    <col min="15871" max="15871" width="27.5546875" style="2" customWidth="1"/>
    <col min="15872" max="15872" width="10.5546875" style="2" customWidth="1"/>
    <col min="15873" max="15873" width="12" style="2" customWidth="1"/>
    <col min="15874" max="15874" width="63.44140625" style="2" customWidth="1"/>
    <col min="15875" max="15875" width="4.44140625" style="2" customWidth="1"/>
    <col min="15876" max="15876" width="12.109375" style="2" customWidth="1"/>
    <col min="15877" max="15877" width="0" style="2" hidden="1" customWidth="1"/>
    <col min="15878" max="15878" width="14.88671875" style="2" customWidth="1"/>
    <col min="15879" max="15879" width="15.109375" style="2" customWidth="1"/>
    <col min="15880" max="15880" width="14" style="2" customWidth="1"/>
    <col min="15881" max="16125" width="0.109375" style="2"/>
    <col min="16126" max="16126" width="2.109375" style="2" customWidth="1"/>
    <col min="16127" max="16127" width="27.5546875" style="2" customWidth="1"/>
    <col min="16128" max="16128" width="10.5546875" style="2" customWidth="1"/>
    <col min="16129" max="16129" width="12" style="2" customWidth="1"/>
    <col min="16130" max="16130" width="63.44140625" style="2" customWidth="1"/>
    <col min="16131" max="16131" width="4.44140625" style="2" customWidth="1"/>
    <col min="16132" max="16132" width="12.109375" style="2" customWidth="1"/>
    <col min="16133" max="16133" width="0" style="2" hidden="1" customWidth="1"/>
    <col min="16134" max="16134" width="14.88671875" style="2" customWidth="1"/>
    <col min="16135" max="16135" width="15.109375" style="2" customWidth="1"/>
    <col min="16136" max="16136" width="14" style="2" customWidth="1"/>
    <col min="16137" max="16384" width="0.109375" style="2"/>
  </cols>
  <sheetData>
    <row r="1" spans="1:9">
      <c r="A1" s="3"/>
      <c r="B1" s="4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 ht="27.6" customHeight="1">
      <c r="A3" s="3"/>
      <c r="B3" s="34" t="s">
        <v>230</v>
      </c>
      <c r="C3" s="41" t="s">
        <v>9</v>
      </c>
      <c r="D3" s="42"/>
      <c r="E3" s="34" t="s">
        <v>10</v>
      </c>
      <c r="F3" s="34" t="s">
        <v>11</v>
      </c>
      <c r="G3" s="34" t="s">
        <v>12</v>
      </c>
      <c r="H3" s="6" t="s">
        <v>13</v>
      </c>
      <c r="I3" s="6" t="s">
        <v>231</v>
      </c>
    </row>
    <row r="4" spans="1:9" s="7" customFormat="1" ht="20.399999999999999">
      <c r="B4" s="8" t="s">
        <v>14</v>
      </c>
      <c r="C4" s="9" t="s">
        <v>15</v>
      </c>
      <c r="D4" s="9" t="s">
        <v>16</v>
      </c>
      <c r="E4" s="10" t="s">
        <v>17</v>
      </c>
      <c r="F4" s="9" t="s">
        <v>721</v>
      </c>
      <c r="G4" s="11">
        <v>3112.23</v>
      </c>
      <c r="H4" s="11">
        <f>SupisPrac!H4</f>
        <v>0</v>
      </c>
      <c r="I4" s="11">
        <f t="shared" ref="I4:I12" si="0">ROUND(G4*H4,2)</f>
        <v>0</v>
      </c>
    </row>
    <row r="5" spans="1:9" s="7" customFormat="1" ht="12">
      <c r="B5" s="12"/>
      <c r="C5" s="9" t="s">
        <v>15</v>
      </c>
      <c r="D5" s="9" t="s">
        <v>18</v>
      </c>
      <c r="E5" s="10" t="s">
        <v>19</v>
      </c>
      <c r="F5" s="9" t="s">
        <v>721</v>
      </c>
      <c r="G5" s="11">
        <v>1634.95</v>
      </c>
      <c r="H5" s="11">
        <f>SupisPrac!H5</f>
        <v>0</v>
      </c>
      <c r="I5" s="11">
        <f t="shared" si="0"/>
        <v>0</v>
      </c>
    </row>
    <row r="6" spans="1:9" s="7" customFormat="1" ht="12">
      <c r="B6" s="12"/>
      <c r="C6" s="9" t="s">
        <v>15</v>
      </c>
      <c r="D6" s="9" t="s">
        <v>20</v>
      </c>
      <c r="E6" s="10" t="s">
        <v>21</v>
      </c>
      <c r="F6" s="9" t="s">
        <v>721</v>
      </c>
      <c r="G6" s="11">
        <v>255.85</v>
      </c>
      <c r="H6" s="11">
        <f>SupisPrac!H6</f>
        <v>0</v>
      </c>
      <c r="I6" s="11">
        <f t="shared" si="0"/>
        <v>0</v>
      </c>
    </row>
    <row r="7" spans="1:9" s="7" customFormat="1" ht="12">
      <c r="B7" s="13"/>
      <c r="C7" s="14" t="s">
        <v>605</v>
      </c>
      <c r="D7" s="14" t="s">
        <v>629</v>
      </c>
      <c r="E7" s="15" t="s">
        <v>23</v>
      </c>
      <c r="F7" s="16" t="s">
        <v>610</v>
      </c>
      <c r="G7" s="17">
        <v>1</v>
      </c>
      <c r="H7" s="11">
        <f>SupisPrac!H7</f>
        <v>0</v>
      </c>
      <c r="I7" s="11">
        <f t="shared" si="0"/>
        <v>0</v>
      </c>
    </row>
    <row r="8" spans="1:9" s="7" customFormat="1" ht="20.399999999999999">
      <c r="B8" s="13"/>
      <c r="C8" s="14" t="s">
        <v>605</v>
      </c>
      <c r="D8" s="14" t="s">
        <v>630</v>
      </c>
      <c r="E8" s="15" t="s">
        <v>234</v>
      </c>
      <c r="F8" s="16" t="s">
        <v>610</v>
      </c>
      <c r="G8" s="17">
        <v>1</v>
      </c>
      <c r="H8" s="11">
        <f>SupisPrac!H8</f>
        <v>0</v>
      </c>
      <c r="I8" s="11">
        <f t="shared" si="0"/>
        <v>0</v>
      </c>
    </row>
    <row r="9" spans="1:9" s="7" customFormat="1" ht="20.399999999999999">
      <c r="B9" s="13"/>
      <c r="C9" s="14" t="s">
        <v>605</v>
      </c>
      <c r="D9" s="14" t="s">
        <v>631</v>
      </c>
      <c r="E9" s="15" t="s">
        <v>613</v>
      </c>
      <c r="F9" s="16" t="s">
        <v>610</v>
      </c>
      <c r="G9" s="17">
        <v>2</v>
      </c>
      <c r="H9" s="11">
        <f>SupisPrac!H9</f>
        <v>0</v>
      </c>
      <c r="I9" s="11">
        <f t="shared" si="0"/>
        <v>0</v>
      </c>
    </row>
    <row r="10" spans="1:9" s="7" customFormat="1" ht="20.399999999999999">
      <c r="B10" s="13"/>
      <c r="C10" s="14" t="s">
        <v>605</v>
      </c>
      <c r="D10" s="14" t="s">
        <v>632</v>
      </c>
      <c r="E10" s="15" t="s">
        <v>618</v>
      </c>
      <c r="F10" s="16" t="s">
        <v>610</v>
      </c>
      <c r="G10" s="17">
        <v>2</v>
      </c>
      <c r="H10" s="11">
        <f>SupisPrac!H10</f>
        <v>0</v>
      </c>
      <c r="I10" s="11">
        <f t="shared" si="0"/>
        <v>0</v>
      </c>
    </row>
    <row r="11" spans="1:9" s="7" customFormat="1" ht="20.399999999999999">
      <c r="B11" s="13"/>
      <c r="C11" s="14" t="s">
        <v>605</v>
      </c>
      <c r="D11" s="14" t="s">
        <v>633</v>
      </c>
      <c r="E11" s="15" t="s">
        <v>623</v>
      </c>
      <c r="F11" s="16" t="s">
        <v>610</v>
      </c>
      <c r="G11" s="17">
        <v>1</v>
      </c>
      <c r="H11" s="11">
        <f>SupisPrac!H11</f>
        <v>0</v>
      </c>
      <c r="I11" s="11">
        <f t="shared" si="0"/>
        <v>0</v>
      </c>
    </row>
    <row r="12" spans="1:9" s="7" customFormat="1" ht="20.399999999999999">
      <c r="B12" s="13"/>
      <c r="C12" s="14" t="s">
        <v>605</v>
      </c>
      <c r="D12" s="14" t="s">
        <v>634</v>
      </c>
      <c r="E12" s="15" t="s">
        <v>626</v>
      </c>
      <c r="F12" s="16" t="s">
        <v>610</v>
      </c>
      <c r="G12" s="17">
        <v>1</v>
      </c>
      <c r="H12" s="11">
        <f>SupisPrac!H12</f>
        <v>0</v>
      </c>
      <c r="I12" s="11">
        <f t="shared" si="0"/>
        <v>0</v>
      </c>
    </row>
    <row r="13" spans="1:9" s="35" customFormat="1" ht="11.1" customHeight="1">
      <c r="B13" s="43" t="s">
        <v>592</v>
      </c>
      <c r="C13" s="44"/>
      <c r="D13" s="44"/>
      <c r="E13" s="44"/>
      <c r="F13" s="44"/>
      <c r="G13" s="44"/>
      <c r="H13" s="44"/>
      <c r="I13" s="17">
        <f>SUM(I4:I12)</f>
        <v>0</v>
      </c>
    </row>
    <row r="14" spans="1:9" ht="20.399999999999999">
      <c r="B14" s="36" t="s">
        <v>593</v>
      </c>
      <c r="C14" s="14" t="s">
        <v>640</v>
      </c>
      <c r="D14" s="14" t="s">
        <v>641</v>
      </c>
      <c r="E14" s="15" t="s">
        <v>637</v>
      </c>
      <c r="F14" s="16" t="s">
        <v>610</v>
      </c>
      <c r="G14" s="17">
        <v>1</v>
      </c>
      <c r="H14" s="11">
        <f>SupisPrac!H13</f>
        <v>0</v>
      </c>
      <c r="I14" s="11">
        <f t="shared" ref="I14" si="1">ROUND(G14*H14,2)</f>
        <v>0</v>
      </c>
    </row>
    <row r="15" spans="1:9" s="7" customFormat="1" ht="12">
      <c r="B15" s="19"/>
      <c r="C15" s="9" t="s">
        <v>28</v>
      </c>
      <c r="D15" s="9" t="s">
        <v>29</v>
      </c>
      <c r="E15" s="10" t="s">
        <v>30</v>
      </c>
      <c r="F15" s="9" t="s">
        <v>722</v>
      </c>
      <c r="G15" s="11">
        <v>137.04</v>
      </c>
      <c r="H15" s="11">
        <f>SupisPrac!H14</f>
        <v>0</v>
      </c>
      <c r="I15" s="11">
        <f t="shared" ref="I15:I78" si="2">ROUND(G15*H15,2)</f>
        <v>0</v>
      </c>
    </row>
    <row r="16" spans="1:9" s="7" customFormat="1" ht="20.399999999999999">
      <c r="B16" s="12"/>
      <c r="C16" s="9" t="s">
        <v>28</v>
      </c>
      <c r="D16" s="9" t="s">
        <v>31</v>
      </c>
      <c r="E16" s="10" t="s">
        <v>32</v>
      </c>
      <c r="F16" s="9" t="s">
        <v>722</v>
      </c>
      <c r="G16" s="11">
        <v>33.69</v>
      </c>
      <c r="H16" s="11">
        <f>SupisPrac!H15</f>
        <v>0</v>
      </c>
      <c r="I16" s="11">
        <f t="shared" si="2"/>
        <v>0</v>
      </c>
    </row>
    <row r="17" spans="2:10" s="7" customFormat="1">
      <c r="B17" s="12"/>
      <c r="C17" s="9" t="s">
        <v>28</v>
      </c>
      <c r="D17" s="9" t="s">
        <v>33</v>
      </c>
      <c r="E17" s="10" t="s">
        <v>34</v>
      </c>
      <c r="F17" s="9" t="s">
        <v>723</v>
      </c>
      <c r="G17" s="11">
        <v>1346</v>
      </c>
      <c r="H17" s="11">
        <f>SupisPrac!H16</f>
        <v>0</v>
      </c>
      <c r="I17" s="11">
        <f t="shared" si="2"/>
        <v>0</v>
      </c>
      <c r="J17" s="2"/>
    </row>
    <row r="18" spans="2:10" s="7" customFormat="1" ht="20.399999999999999">
      <c r="B18" s="12"/>
      <c r="C18" s="9" t="s">
        <v>28</v>
      </c>
      <c r="D18" s="9" t="s">
        <v>35</v>
      </c>
      <c r="E18" s="10" t="s">
        <v>36</v>
      </c>
      <c r="F18" s="9" t="s">
        <v>724</v>
      </c>
      <c r="G18" s="11">
        <v>85</v>
      </c>
      <c r="H18" s="11">
        <f>SupisPrac!H17</f>
        <v>0</v>
      </c>
      <c r="I18" s="11">
        <f t="shared" si="2"/>
        <v>0</v>
      </c>
    </row>
    <row r="19" spans="2:10" s="7" customFormat="1" ht="12">
      <c r="B19" s="12"/>
      <c r="C19" s="9" t="s">
        <v>28</v>
      </c>
      <c r="D19" s="9" t="s">
        <v>37</v>
      </c>
      <c r="E19" s="10" t="s">
        <v>38</v>
      </c>
      <c r="F19" s="9" t="s">
        <v>726</v>
      </c>
      <c r="G19" s="11">
        <v>200</v>
      </c>
      <c r="H19" s="11">
        <f>SupisPrac!H18</f>
        <v>0</v>
      </c>
      <c r="I19" s="11">
        <f t="shared" si="2"/>
        <v>0</v>
      </c>
    </row>
    <row r="20" spans="2:10" s="7" customFormat="1">
      <c r="B20" s="12"/>
      <c r="C20" s="9" t="s">
        <v>28</v>
      </c>
      <c r="D20" s="9" t="s">
        <v>39</v>
      </c>
      <c r="E20" s="10" t="s">
        <v>40</v>
      </c>
      <c r="F20" s="9" t="s">
        <v>723</v>
      </c>
      <c r="G20" s="11">
        <v>673.33</v>
      </c>
      <c r="H20" s="11">
        <f>SupisPrac!H19</f>
        <v>0</v>
      </c>
      <c r="I20" s="11">
        <f t="shared" si="2"/>
        <v>0</v>
      </c>
      <c r="J20" s="2"/>
    </row>
    <row r="21" spans="2:10" s="7" customFormat="1" ht="12">
      <c r="B21" s="12"/>
      <c r="C21" s="9" t="s">
        <v>28</v>
      </c>
      <c r="D21" s="9" t="s">
        <v>41</v>
      </c>
      <c r="E21" s="10" t="s">
        <v>42</v>
      </c>
      <c r="F21" s="9" t="s">
        <v>723</v>
      </c>
      <c r="G21" s="11">
        <v>294</v>
      </c>
      <c r="H21" s="11">
        <f>SupisPrac!H20</f>
        <v>0</v>
      </c>
      <c r="I21" s="11">
        <f t="shared" si="2"/>
        <v>0</v>
      </c>
    </row>
    <row r="22" spans="2:10" s="7" customFormat="1" ht="20.399999999999999">
      <c r="B22" s="12"/>
      <c r="C22" s="9" t="s">
        <v>28</v>
      </c>
      <c r="D22" s="9" t="s">
        <v>43</v>
      </c>
      <c r="E22" s="10" t="s">
        <v>44</v>
      </c>
      <c r="F22" s="9" t="s">
        <v>724</v>
      </c>
      <c r="G22" s="11">
        <v>245.32</v>
      </c>
      <c r="H22" s="11">
        <f>SupisPrac!H21</f>
        <v>0</v>
      </c>
      <c r="I22" s="11">
        <f t="shared" si="2"/>
        <v>0</v>
      </c>
    </row>
    <row r="23" spans="2:10" s="7" customFormat="1" ht="20.399999999999999">
      <c r="B23" s="12"/>
      <c r="C23" s="9" t="s">
        <v>28</v>
      </c>
      <c r="D23" s="9" t="s">
        <v>45</v>
      </c>
      <c r="E23" s="10" t="s">
        <v>46</v>
      </c>
      <c r="F23" s="9" t="s">
        <v>725</v>
      </c>
      <c r="G23" s="11">
        <v>4</v>
      </c>
      <c r="H23" s="11">
        <f>SupisPrac!H22</f>
        <v>0</v>
      </c>
      <c r="I23" s="11">
        <f t="shared" si="2"/>
        <v>0</v>
      </c>
      <c r="J23" s="2"/>
    </row>
    <row r="24" spans="2:10" s="7" customFormat="1" ht="20.399999999999999">
      <c r="B24" s="12"/>
      <c r="C24" s="9" t="s">
        <v>28</v>
      </c>
      <c r="D24" s="9" t="s">
        <v>47</v>
      </c>
      <c r="E24" s="10" t="s">
        <v>48</v>
      </c>
      <c r="F24" s="9" t="s">
        <v>722</v>
      </c>
      <c r="G24" s="11">
        <v>4.3</v>
      </c>
      <c r="H24" s="11">
        <f>SupisPrac!H23</f>
        <v>0</v>
      </c>
      <c r="I24" s="11">
        <f t="shared" si="2"/>
        <v>0</v>
      </c>
    </row>
    <row r="25" spans="2:10" s="7" customFormat="1" ht="12">
      <c r="B25" s="12"/>
      <c r="C25" s="9" t="s">
        <v>28</v>
      </c>
      <c r="D25" s="9" t="s">
        <v>49</v>
      </c>
      <c r="E25" s="10" t="s">
        <v>50</v>
      </c>
      <c r="F25" s="9" t="s">
        <v>721</v>
      </c>
      <c r="G25" s="11">
        <v>3112.23</v>
      </c>
      <c r="H25" s="11">
        <f>SupisPrac!H24</f>
        <v>0</v>
      </c>
      <c r="I25" s="11">
        <f t="shared" si="2"/>
        <v>0</v>
      </c>
    </row>
    <row r="26" spans="2:10" s="7" customFormat="1" ht="20.399999999999999">
      <c r="B26" s="12"/>
      <c r="C26" s="9" t="s">
        <v>28</v>
      </c>
      <c r="D26" s="9" t="s">
        <v>51</v>
      </c>
      <c r="E26" s="10" t="s">
        <v>52</v>
      </c>
      <c r="F26" s="9" t="s">
        <v>723</v>
      </c>
      <c r="G26" s="11">
        <v>1192.6300000000001</v>
      </c>
      <c r="H26" s="11">
        <f>SupisPrac!H25</f>
        <v>0</v>
      </c>
      <c r="I26" s="11">
        <f t="shared" si="2"/>
        <v>0</v>
      </c>
      <c r="J26" s="2"/>
    </row>
    <row r="27" spans="2:10" s="7" customFormat="1" ht="12">
      <c r="B27" s="12"/>
      <c r="C27" s="9" t="s">
        <v>28</v>
      </c>
      <c r="D27" s="9" t="s">
        <v>53</v>
      </c>
      <c r="E27" s="10" t="s">
        <v>54</v>
      </c>
      <c r="F27" s="9" t="s">
        <v>723</v>
      </c>
      <c r="G27" s="11">
        <v>674</v>
      </c>
      <c r="H27" s="11">
        <f>SupisPrac!H26</f>
        <v>0</v>
      </c>
      <c r="I27" s="11">
        <f t="shared" si="2"/>
        <v>0</v>
      </c>
    </row>
    <row r="28" spans="2:10" s="7" customFormat="1" ht="12">
      <c r="B28" s="12"/>
      <c r="C28" s="9" t="s">
        <v>28</v>
      </c>
      <c r="D28" s="9" t="s">
        <v>55</v>
      </c>
      <c r="E28" s="10" t="s">
        <v>56</v>
      </c>
      <c r="F28" s="9" t="s">
        <v>723</v>
      </c>
      <c r="G28" s="11">
        <v>1263.47</v>
      </c>
      <c r="H28" s="11">
        <f>SupisPrac!H27</f>
        <v>0</v>
      </c>
      <c r="I28" s="11">
        <f t="shared" si="2"/>
        <v>0</v>
      </c>
    </row>
    <row r="29" spans="2:10" s="7" customFormat="1">
      <c r="B29" s="12"/>
      <c r="C29" s="9" t="s">
        <v>28</v>
      </c>
      <c r="D29" s="9" t="s">
        <v>57</v>
      </c>
      <c r="E29" s="10" t="s">
        <v>58</v>
      </c>
      <c r="F29" s="9" t="s">
        <v>724</v>
      </c>
      <c r="G29" s="11">
        <v>65.7</v>
      </c>
      <c r="H29" s="11">
        <f>SupisPrac!H28</f>
        <v>0</v>
      </c>
      <c r="I29" s="11">
        <f t="shared" si="2"/>
        <v>0</v>
      </c>
      <c r="J29" s="2"/>
    </row>
    <row r="30" spans="2:10" s="7" customFormat="1" ht="12">
      <c r="B30" s="12"/>
      <c r="C30" s="9" t="s">
        <v>28</v>
      </c>
      <c r="D30" s="9" t="s">
        <v>59</v>
      </c>
      <c r="E30" s="10" t="s">
        <v>60</v>
      </c>
      <c r="F30" s="9" t="s">
        <v>724</v>
      </c>
      <c r="G30" s="11">
        <v>13.1</v>
      </c>
      <c r="H30" s="11">
        <f>SupisPrac!H29</f>
        <v>0</v>
      </c>
      <c r="I30" s="11">
        <f t="shared" si="2"/>
        <v>0</v>
      </c>
    </row>
    <row r="31" spans="2:10" s="7" customFormat="1" ht="12">
      <c r="B31" s="12"/>
      <c r="C31" s="9" t="s">
        <v>28</v>
      </c>
      <c r="D31" s="9" t="s">
        <v>61</v>
      </c>
      <c r="E31" s="10" t="s">
        <v>62</v>
      </c>
      <c r="F31" s="9" t="s">
        <v>724</v>
      </c>
      <c r="G31" s="11">
        <v>7.49</v>
      </c>
      <c r="H31" s="11">
        <f>SupisPrac!H30</f>
        <v>0</v>
      </c>
      <c r="I31" s="11">
        <f t="shared" si="2"/>
        <v>0</v>
      </c>
    </row>
    <row r="32" spans="2:10" s="7" customFormat="1">
      <c r="B32" s="12"/>
      <c r="C32" s="9" t="s">
        <v>28</v>
      </c>
      <c r="D32" s="9" t="s">
        <v>63</v>
      </c>
      <c r="E32" s="10" t="s">
        <v>64</v>
      </c>
      <c r="F32" s="9" t="s">
        <v>724</v>
      </c>
      <c r="G32" s="11">
        <v>318.68</v>
      </c>
      <c r="H32" s="11">
        <f>SupisPrac!H31</f>
        <v>0</v>
      </c>
      <c r="I32" s="11">
        <f t="shared" si="2"/>
        <v>0</v>
      </c>
      <c r="J32" s="2"/>
    </row>
    <row r="33" spans="2:10" s="7" customFormat="1" ht="12">
      <c r="B33" s="19"/>
      <c r="C33" s="9" t="s">
        <v>66</v>
      </c>
      <c r="D33" s="21" t="s">
        <v>67</v>
      </c>
      <c r="E33" s="10" t="s">
        <v>68</v>
      </c>
      <c r="F33" s="9" t="s">
        <v>723</v>
      </c>
      <c r="G33" s="11">
        <v>1703.29</v>
      </c>
      <c r="H33" s="11">
        <f>SupisPrac!H32</f>
        <v>0</v>
      </c>
      <c r="I33" s="11">
        <f t="shared" si="2"/>
        <v>0</v>
      </c>
    </row>
    <row r="34" spans="2:10" s="7" customFormat="1" ht="12">
      <c r="B34" s="19"/>
      <c r="C34" s="9" t="s">
        <v>66</v>
      </c>
      <c r="D34" s="9" t="s">
        <v>69</v>
      </c>
      <c r="E34" s="10" t="s">
        <v>70</v>
      </c>
      <c r="F34" s="9" t="s">
        <v>723</v>
      </c>
      <c r="G34" s="11">
        <v>730.99</v>
      </c>
      <c r="H34" s="11">
        <f>SupisPrac!H33</f>
        <v>0</v>
      </c>
      <c r="I34" s="11">
        <f t="shared" si="2"/>
        <v>0</v>
      </c>
    </row>
    <row r="35" spans="2:10" s="7" customFormat="1">
      <c r="B35" s="12"/>
      <c r="C35" s="9" t="s">
        <v>66</v>
      </c>
      <c r="D35" s="9" t="s">
        <v>71</v>
      </c>
      <c r="E35" s="10" t="s">
        <v>72</v>
      </c>
      <c r="F35" s="9" t="s">
        <v>722</v>
      </c>
      <c r="G35" s="11">
        <v>365.5</v>
      </c>
      <c r="H35" s="11">
        <f>SupisPrac!H34</f>
        <v>0</v>
      </c>
      <c r="I35" s="11">
        <f t="shared" si="2"/>
        <v>0</v>
      </c>
      <c r="J35" s="2"/>
    </row>
    <row r="36" spans="2:10" s="7" customFormat="1" ht="12">
      <c r="B36" s="19"/>
      <c r="C36" s="9" t="s">
        <v>74</v>
      </c>
      <c r="D36" s="9" t="s">
        <v>75</v>
      </c>
      <c r="E36" s="10" t="s">
        <v>76</v>
      </c>
      <c r="F36" s="9" t="s">
        <v>722</v>
      </c>
      <c r="G36" s="11">
        <v>583.21</v>
      </c>
      <c r="H36" s="11">
        <f>SupisPrac!H35</f>
        <v>0</v>
      </c>
      <c r="I36" s="11">
        <f t="shared" si="2"/>
        <v>0</v>
      </c>
    </row>
    <row r="37" spans="2:10" s="7" customFormat="1" ht="12">
      <c r="B37" s="12"/>
      <c r="C37" s="9" t="s">
        <v>74</v>
      </c>
      <c r="D37" s="9" t="s">
        <v>77</v>
      </c>
      <c r="E37" s="10" t="s">
        <v>78</v>
      </c>
      <c r="F37" s="9" t="s">
        <v>722</v>
      </c>
      <c r="G37" s="11">
        <v>281.79000000000002</v>
      </c>
      <c r="H37" s="11">
        <f>SupisPrac!H36</f>
        <v>0</v>
      </c>
      <c r="I37" s="11">
        <f t="shared" si="2"/>
        <v>0</v>
      </c>
    </row>
    <row r="38" spans="2:10" s="7" customFormat="1">
      <c r="B38" s="12"/>
      <c r="C38" s="9" t="s">
        <v>74</v>
      </c>
      <c r="D38" s="9" t="s">
        <v>79</v>
      </c>
      <c r="E38" s="10" t="s">
        <v>80</v>
      </c>
      <c r="F38" s="9" t="s">
        <v>723</v>
      </c>
      <c r="G38" s="11">
        <v>1605.22</v>
      </c>
      <c r="H38" s="11">
        <f>SupisPrac!H37</f>
        <v>0</v>
      </c>
      <c r="I38" s="11">
        <f t="shared" si="2"/>
        <v>0</v>
      </c>
      <c r="J38" s="2"/>
    </row>
    <row r="39" spans="2:10" s="7" customFormat="1" ht="12">
      <c r="B39" s="12"/>
      <c r="C39" s="9" t="s">
        <v>74</v>
      </c>
      <c r="D39" s="9" t="s">
        <v>81</v>
      </c>
      <c r="E39" s="10" t="s">
        <v>82</v>
      </c>
      <c r="F39" s="9" t="s">
        <v>723</v>
      </c>
      <c r="G39" s="11">
        <v>1605.22</v>
      </c>
      <c r="H39" s="11">
        <f>SupisPrac!H38</f>
        <v>0</v>
      </c>
      <c r="I39" s="11">
        <f t="shared" si="2"/>
        <v>0</v>
      </c>
    </row>
    <row r="40" spans="2:10" s="7" customFormat="1" ht="12">
      <c r="B40" s="12"/>
      <c r="C40" s="9" t="s">
        <v>74</v>
      </c>
      <c r="D40" s="9" t="s">
        <v>83</v>
      </c>
      <c r="E40" s="10" t="s">
        <v>84</v>
      </c>
      <c r="F40" s="9" t="s">
        <v>723</v>
      </c>
      <c r="G40" s="11">
        <v>1605.22</v>
      </c>
      <c r="H40" s="11">
        <f>SupisPrac!H39</f>
        <v>0</v>
      </c>
      <c r="I40" s="11">
        <f t="shared" si="2"/>
        <v>0</v>
      </c>
    </row>
    <row r="41" spans="2:10" s="7" customFormat="1">
      <c r="B41" s="19"/>
      <c r="C41" s="9" t="s">
        <v>86</v>
      </c>
      <c r="D41" s="9" t="s">
        <v>87</v>
      </c>
      <c r="E41" s="10" t="s">
        <v>88</v>
      </c>
      <c r="F41" s="9" t="s">
        <v>724</v>
      </c>
      <c r="G41" s="11">
        <v>85</v>
      </c>
      <c r="H41" s="11">
        <f>SupisPrac!H40</f>
        <v>0</v>
      </c>
      <c r="I41" s="11">
        <f t="shared" si="2"/>
        <v>0</v>
      </c>
      <c r="J41" s="2"/>
    </row>
    <row r="42" spans="2:10" s="7" customFormat="1" ht="12">
      <c r="B42" s="12"/>
      <c r="C42" s="9" t="s">
        <v>86</v>
      </c>
      <c r="D42" s="9" t="s">
        <v>89</v>
      </c>
      <c r="E42" s="10" t="s">
        <v>90</v>
      </c>
      <c r="F42" s="9" t="s">
        <v>722</v>
      </c>
      <c r="G42" s="11">
        <v>249.19</v>
      </c>
      <c r="H42" s="11">
        <f>SupisPrac!H41</f>
        <v>0</v>
      </c>
      <c r="I42" s="11">
        <f t="shared" si="2"/>
        <v>0</v>
      </c>
    </row>
    <row r="43" spans="2:10" s="7" customFormat="1" ht="12">
      <c r="B43" s="12"/>
      <c r="C43" s="9" t="s">
        <v>86</v>
      </c>
      <c r="D43" s="9" t="s">
        <v>91</v>
      </c>
      <c r="E43" s="10" t="s">
        <v>92</v>
      </c>
      <c r="F43" s="9" t="s">
        <v>722</v>
      </c>
      <c r="G43" s="11">
        <v>11.21</v>
      </c>
      <c r="H43" s="11">
        <f>SupisPrac!H42</f>
        <v>0</v>
      </c>
      <c r="I43" s="11">
        <f t="shared" si="2"/>
        <v>0</v>
      </c>
    </row>
    <row r="44" spans="2:10" s="7" customFormat="1">
      <c r="B44" s="12"/>
      <c r="C44" s="9" t="s">
        <v>86</v>
      </c>
      <c r="D44" s="9" t="s">
        <v>93</v>
      </c>
      <c r="E44" s="10" t="s">
        <v>94</v>
      </c>
      <c r="F44" s="9" t="s">
        <v>722</v>
      </c>
      <c r="G44" s="11">
        <v>532.6</v>
      </c>
      <c r="H44" s="11">
        <f>SupisPrac!H43</f>
        <v>0</v>
      </c>
      <c r="I44" s="11">
        <f t="shared" si="2"/>
        <v>0</v>
      </c>
      <c r="J44" s="2"/>
    </row>
    <row r="45" spans="2:10" s="7" customFormat="1" ht="12">
      <c r="B45" s="12"/>
      <c r="C45" s="9" t="s">
        <v>86</v>
      </c>
      <c r="D45" s="9" t="s">
        <v>95</v>
      </c>
      <c r="E45" s="10" t="s">
        <v>96</v>
      </c>
      <c r="F45" s="9" t="s">
        <v>722</v>
      </c>
      <c r="G45" s="11">
        <v>493.25</v>
      </c>
      <c r="H45" s="11">
        <f>SupisPrac!H44</f>
        <v>0</v>
      </c>
      <c r="I45" s="11">
        <f t="shared" si="2"/>
        <v>0</v>
      </c>
    </row>
    <row r="46" spans="2:10" s="7" customFormat="1" ht="12">
      <c r="B46" s="19"/>
      <c r="C46" s="9" t="s">
        <v>86</v>
      </c>
      <c r="D46" s="9" t="s">
        <v>101</v>
      </c>
      <c r="E46" s="10" t="s">
        <v>102</v>
      </c>
      <c r="F46" s="9" t="s">
        <v>722</v>
      </c>
      <c r="G46" s="11">
        <v>1286.26</v>
      </c>
      <c r="H46" s="11">
        <f>SupisPrac!H45</f>
        <v>0</v>
      </c>
      <c r="I46" s="11">
        <f t="shared" si="2"/>
        <v>0</v>
      </c>
    </row>
    <row r="47" spans="2:10" s="7" customFormat="1">
      <c r="B47" s="12"/>
      <c r="C47" s="9" t="s">
        <v>86</v>
      </c>
      <c r="D47" s="9" t="s">
        <v>97</v>
      </c>
      <c r="E47" s="10" t="s">
        <v>98</v>
      </c>
      <c r="F47" s="9" t="s">
        <v>722</v>
      </c>
      <c r="G47" s="11">
        <v>1.94</v>
      </c>
      <c r="H47" s="11">
        <f>SupisPrac!H46</f>
        <v>0</v>
      </c>
      <c r="I47" s="11">
        <f t="shared" si="2"/>
        <v>0</v>
      </c>
      <c r="J47" s="2"/>
    </row>
    <row r="48" spans="2:10" s="7" customFormat="1" ht="12">
      <c r="B48" s="12"/>
      <c r="C48" s="9" t="s">
        <v>86</v>
      </c>
      <c r="D48" s="9" t="s">
        <v>99</v>
      </c>
      <c r="E48" s="10" t="s">
        <v>100</v>
      </c>
      <c r="F48" s="9" t="s">
        <v>722</v>
      </c>
      <c r="G48" s="11">
        <v>121.69</v>
      </c>
      <c r="H48" s="11">
        <f>SupisPrac!H47</f>
        <v>0</v>
      </c>
      <c r="I48" s="11">
        <f t="shared" si="2"/>
        <v>0</v>
      </c>
    </row>
    <row r="49" spans="2:10" s="7" customFormat="1" ht="12">
      <c r="B49" s="12"/>
      <c r="C49" s="9" t="s">
        <v>86</v>
      </c>
      <c r="D49" s="9" t="s">
        <v>71</v>
      </c>
      <c r="E49" s="10" t="s">
        <v>72</v>
      </c>
      <c r="F49" s="9" t="s">
        <v>722</v>
      </c>
      <c r="G49" s="11">
        <v>860.5</v>
      </c>
      <c r="H49" s="11">
        <f>SupisPrac!H48</f>
        <v>0</v>
      </c>
      <c r="I49" s="11">
        <f t="shared" si="2"/>
        <v>0</v>
      </c>
    </row>
    <row r="50" spans="2:10" s="7" customFormat="1">
      <c r="B50" s="19"/>
      <c r="C50" s="9" t="s">
        <v>104</v>
      </c>
      <c r="D50" s="9" t="s">
        <v>105</v>
      </c>
      <c r="E50" s="10" t="s">
        <v>106</v>
      </c>
      <c r="F50" s="9" t="s">
        <v>722</v>
      </c>
      <c r="G50" s="11">
        <v>14.36</v>
      </c>
      <c r="H50" s="11">
        <f>SupisPrac!H49</f>
        <v>0</v>
      </c>
      <c r="I50" s="11">
        <f t="shared" si="2"/>
        <v>0</v>
      </c>
      <c r="J50" s="2"/>
    </row>
    <row r="51" spans="2:10" s="7" customFormat="1" ht="12">
      <c r="B51" s="12"/>
      <c r="C51" s="9" t="s">
        <v>104</v>
      </c>
      <c r="D51" s="9" t="s">
        <v>107</v>
      </c>
      <c r="E51" s="10" t="s">
        <v>108</v>
      </c>
      <c r="F51" s="9" t="s">
        <v>722</v>
      </c>
      <c r="G51" s="11">
        <v>5.94</v>
      </c>
      <c r="H51" s="11">
        <f>SupisPrac!H50</f>
        <v>0</v>
      </c>
      <c r="I51" s="11">
        <f t="shared" si="2"/>
        <v>0</v>
      </c>
    </row>
    <row r="52" spans="2:10" s="7" customFormat="1" ht="12">
      <c r="B52" s="12"/>
      <c r="C52" s="9" t="s">
        <v>104</v>
      </c>
      <c r="D52" s="9" t="s">
        <v>109</v>
      </c>
      <c r="E52" s="10" t="s">
        <v>110</v>
      </c>
      <c r="F52" s="9" t="s">
        <v>723</v>
      </c>
      <c r="G52" s="11">
        <v>28.73</v>
      </c>
      <c r="H52" s="11">
        <f>SupisPrac!H51</f>
        <v>0</v>
      </c>
      <c r="I52" s="11">
        <f t="shared" si="2"/>
        <v>0</v>
      </c>
    </row>
    <row r="53" spans="2:10" s="7" customFormat="1">
      <c r="B53" s="12"/>
      <c r="C53" s="9" t="s">
        <v>104</v>
      </c>
      <c r="D53" s="9" t="s">
        <v>111</v>
      </c>
      <c r="E53" s="10" t="s">
        <v>112</v>
      </c>
      <c r="F53" s="9" t="s">
        <v>721</v>
      </c>
      <c r="G53" s="11">
        <v>0.95</v>
      </c>
      <c r="H53" s="11">
        <f>SupisPrac!H52</f>
        <v>0</v>
      </c>
      <c r="I53" s="11">
        <f t="shared" si="2"/>
        <v>0</v>
      </c>
      <c r="J53" s="2"/>
    </row>
    <row r="54" spans="2:10" s="7" customFormat="1" ht="12">
      <c r="B54" s="12"/>
      <c r="C54" s="9" t="s">
        <v>104</v>
      </c>
      <c r="D54" s="9" t="s">
        <v>113</v>
      </c>
      <c r="E54" s="10" t="s">
        <v>114</v>
      </c>
      <c r="F54" s="9" t="s">
        <v>722</v>
      </c>
      <c r="G54" s="11">
        <v>22.85</v>
      </c>
      <c r="H54" s="11">
        <f>SupisPrac!H53</f>
        <v>0</v>
      </c>
      <c r="I54" s="11">
        <f t="shared" si="2"/>
        <v>0</v>
      </c>
    </row>
    <row r="55" spans="2:10" s="7" customFormat="1" ht="12">
      <c r="B55" s="12"/>
      <c r="C55" s="9" t="s">
        <v>104</v>
      </c>
      <c r="D55" s="9" t="s">
        <v>115</v>
      </c>
      <c r="E55" s="10" t="s">
        <v>116</v>
      </c>
      <c r="F55" s="9" t="s">
        <v>723</v>
      </c>
      <c r="G55" s="11">
        <v>72.010000000000005</v>
      </c>
      <c r="H55" s="11">
        <f>SupisPrac!H54</f>
        <v>0</v>
      </c>
      <c r="I55" s="11">
        <f t="shared" si="2"/>
        <v>0</v>
      </c>
    </row>
    <row r="56" spans="2:10" s="7" customFormat="1">
      <c r="B56" s="12"/>
      <c r="C56" s="9" t="s">
        <v>104</v>
      </c>
      <c r="D56" s="9" t="s">
        <v>117</v>
      </c>
      <c r="E56" s="10" t="s">
        <v>118</v>
      </c>
      <c r="F56" s="9" t="s">
        <v>723</v>
      </c>
      <c r="G56" s="11">
        <v>5.28</v>
      </c>
      <c r="H56" s="11">
        <f>SupisPrac!H55</f>
        <v>0</v>
      </c>
      <c r="I56" s="11">
        <f t="shared" si="2"/>
        <v>0</v>
      </c>
      <c r="J56" s="2"/>
    </row>
    <row r="57" spans="2:10" s="7" customFormat="1" ht="12">
      <c r="B57" s="12"/>
      <c r="C57" s="9" t="s">
        <v>104</v>
      </c>
      <c r="D57" s="9" t="s">
        <v>119</v>
      </c>
      <c r="E57" s="10" t="s">
        <v>120</v>
      </c>
      <c r="F57" s="9" t="s">
        <v>721</v>
      </c>
      <c r="G57" s="11">
        <v>2.93</v>
      </c>
      <c r="H57" s="11">
        <f>SupisPrac!H56</f>
        <v>0</v>
      </c>
      <c r="I57" s="11">
        <f t="shared" si="2"/>
        <v>0</v>
      </c>
    </row>
    <row r="58" spans="2:10" s="7" customFormat="1" ht="20.399999999999999">
      <c r="B58" s="12"/>
      <c r="C58" s="9" t="s">
        <v>104</v>
      </c>
      <c r="D58" s="9" t="s">
        <v>121</v>
      </c>
      <c r="E58" s="10" t="s">
        <v>122</v>
      </c>
      <c r="F58" s="9" t="s">
        <v>722</v>
      </c>
      <c r="G58" s="11">
        <v>40.19</v>
      </c>
      <c r="H58" s="11">
        <f>SupisPrac!H57</f>
        <v>0</v>
      </c>
      <c r="I58" s="11">
        <f t="shared" si="2"/>
        <v>0</v>
      </c>
    </row>
    <row r="59" spans="2:10" s="7" customFormat="1" ht="20.399999999999999">
      <c r="B59" s="12"/>
      <c r="C59" s="9" t="s">
        <v>104</v>
      </c>
      <c r="D59" s="9" t="s">
        <v>123</v>
      </c>
      <c r="E59" s="10" t="s">
        <v>124</v>
      </c>
      <c r="F59" s="9" t="s">
        <v>723</v>
      </c>
      <c r="G59" s="11">
        <v>14.68</v>
      </c>
      <c r="H59" s="11">
        <f>SupisPrac!H58</f>
        <v>0</v>
      </c>
      <c r="I59" s="11">
        <f t="shared" si="2"/>
        <v>0</v>
      </c>
      <c r="J59" s="2"/>
    </row>
    <row r="60" spans="2:10" s="7" customFormat="1" ht="20.399999999999999">
      <c r="B60" s="12"/>
      <c r="C60" s="9" t="s">
        <v>104</v>
      </c>
      <c r="D60" s="9" t="s">
        <v>125</v>
      </c>
      <c r="E60" s="10" t="s">
        <v>126</v>
      </c>
      <c r="F60" s="9" t="s">
        <v>721</v>
      </c>
      <c r="G60" s="11">
        <v>6.76</v>
      </c>
      <c r="H60" s="11">
        <f>SupisPrac!H59</f>
        <v>0</v>
      </c>
      <c r="I60" s="11">
        <f t="shared" si="2"/>
        <v>0</v>
      </c>
    </row>
    <row r="61" spans="2:10" s="7" customFormat="1" ht="20.399999999999999">
      <c r="B61" s="12"/>
      <c r="C61" s="9" t="s">
        <v>104</v>
      </c>
      <c r="D61" s="9" t="s">
        <v>127</v>
      </c>
      <c r="E61" s="10" t="s">
        <v>128</v>
      </c>
      <c r="F61" s="9" t="s">
        <v>722</v>
      </c>
      <c r="G61" s="11">
        <v>82.13</v>
      </c>
      <c r="H61" s="11">
        <f>SupisPrac!H60</f>
        <v>0</v>
      </c>
      <c r="I61" s="11">
        <f t="shared" si="2"/>
        <v>0</v>
      </c>
    </row>
    <row r="62" spans="2:10" s="7" customFormat="1" ht="20.399999999999999">
      <c r="B62" s="12"/>
      <c r="C62" s="9" t="s">
        <v>104</v>
      </c>
      <c r="D62" s="9" t="s">
        <v>129</v>
      </c>
      <c r="E62" s="10" t="s">
        <v>130</v>
      </c>
      <c r="F62" s="9" t="s">
        <v>723</v>
      </c>
      <c r="G62" s="11">
        <v>21.19</v>
      </c>
      <c r="H62" s="11">
        <f>SupisPrac!H61</f>
        <v>0</v>
      </c>
      <c r="I62" s="11">
        <f t="shared" si="2"/>
        <v>0</v>
      </c>
      <c r="J62" s="2"/>
    </row>
    <row r="63" spans="2:10" s="7" customFormat="1" ht="20.399999999999999">
      <c r="B63" s="12"/>
      <c r="C63" s="9" t="s">
        <v>104</v>
      </c>
      <c r="D63" s="9" t="s">
        <v>131</v>
      </c>
      <c r="E63" s="10" t="s">
        <v>132</v>
      </c>
      <c r="F63" s="9" t="s">
        <v>721</v>
      </c>
      <c r="G63" s="11">
        <v>5.69</v>
      </c>
      <c r="H63" s="11">
        <f>SupisPrac!H62</f>
        <v>0</v>
      </c>
      <c r="I63" s="11">
        <f t="shared" si="2"/>
        <v>0</v>
      </c>
    </row>
    <row r="64" spans="2:10" s="7" customFormat="1" ht="20.399999999999999">
      <c r="B64" s="12"/>
      <c r="C64" s="9" t="s">
        <v>104</v>
      </c>
      <c r="D64" s="9" t="s">
        <v>133</v>
      </c>
      <c r="E64" s="10" t="s">
        <v>134</v>
      </c>
      <c r="F64" s="9" t="s">
        <v>722</v>
      </c>
      <c r="G64" s="11">
        <v>243.01</v>
      </c>
      <c r="H64" s="11">
        <f>SupisPrac!H63</f>
        <v>0</v>
      </c>
      <c r="I64" s="11">
        <f t="shared" si="2"/>
        <v>0</v>
      </c>
    </row>
    <row r="65" spans="2:10" s="7" customFormat="1">
      <c r="B65" s="12"/>
      <c r="C65" s="9" t="s">
        <v>104</v>
      </c>
      <c r="D65" s="9" t="s">
        <v>135</v>
      </c>
      <c r="E65" s="10" t="s">
        <v>136</v>
      </c>
      <c r="F65" s="9" t="s">
        <v>723</v>
      </c>
      <c r="G65" s="11">
        <v>7.86</v>
      </c>
      <c r="H65" s="11">
        <f>SupisPrac!H64</f>
        <v>0</v>
      </c>
      <c r="I65" s="11">
        <f t="shared" si="2"/>
        <v>0</v>
      </c>
      <c r="J65" s="2"/>
    </row>
    <row r="66" spans="2:10" s="7" customFormat="1" ht="12">
      <c r="B66" s="12"/>
      <c r="C66" s="9" t="s">
        <v>104</v>
      </c>
      <c r="D66" s="9" t="s">
        <v>137</v>
      </c>
      <c r="E66" s="10" t="s">
        <v>138</v>
      </c>
      <c r="F66" s="9" t="s">
        <v>724</v>
      </c>
      <c r="G66" s="11">
        <v>77.45</v>
      </c>
      <c r="H66" s="11">
        <f>SupisPrac!H65</f>
        <v>0</v>
      </c>
      <c r="I66" s="11">
        <f t="shared" si="2"/>
        <v>0</v>
      </c>
    </row>
    <row r="67" spans="2:10" s="7" customFormat="1" ht="12">
      <c r="B67" s="12"/>
      <c r="C67" s="9" t="s">
        <v>104</v>
      </c>
      <c r="D67" s="9" t="s">
        <v>139</v>
      </c>
      <c r="E67" s="10" t="s">
        <v>140</v>
      </c>
      <c r="F67" s="9" t="s">
        <v>725</v>
      </c>
      <c r="G67" s="11">
        <v>4</v>
      </c>
      <c r="H67" s="11">
        <f>SupisPrac!H66</f>
        <v>0</v>
      </c>
      <c r="I67" s="11">
        <f t="shared" si="2"/>
        <v>0</v>
      </c>
    </row>
    <row r="68" spans="2:10" s="7" customFormat="1">
      <c r="B68" s="12"/>
      <c r="C68" s="9" t="s">
        <v>104</v>
      </c>
      <c r="D68" s="9" t="s">
        <v>141</v>
      </c>
      <c r="E68" s="10" t="s">
        <v>142</v>
      </c>
      <c r="F68" s="9" t="s">
        <v>723</v>
      </c>
      <c r="G68" s="11">
        <v>49.65</v>
      </c>
      <c r="H68" s="11">
        <f>SupisPrac!H67</f>
        <v>0</v>
      </c>
      <c r="I68" s="11">
        <f t="shared" si="2"/>
        <v>0</v>
      </c>
      <c r="J68" s="2"/>
    </row>
    <row r="69" spans="2:10" s="7" customFormat="1" ht="12">
      <c r="B69" s="12"/>
      <c r="C69" s="9" t="s">
        <v>104</v>
      </c>
      <c r="D69" s="9" t="s">
        <v>143</v>
      </c>
      <c r="E69" s="10" t="s">
        <v>144</v>
      </c>
      <c r="F69" s="9" t="s">
        <v>724</v>
      </c>
      <c r="G69" s="11">
        <v>470.1</v>
      </c>
      <c r="H69" s="11">
        <f>SupisPrac!H68</f>
        <v>0</v>
      </c>
      <c r="I69" s="11">
        <f t="shared" si="2"/>
        <v>0</v>
      </c>
    </row>
    <row r="70" spans="2:10" s="7" customFormat="1" ht="12">
      <c r="B70" s="12"/>
      <c r="C70" s="9" t="s">
        <v>104</v>
      </c>
      <c r="D70" s="9" t="s">
        <v>145</v>
      </c>
      <c r="E70" s="10" t="s">
        <v>146</v>
      </c>
      <c r="F70" s="9" t="s">
        <v>725</v>
      </c>
      <c r="G70" s="11">
        <v>6</v>
      </c>
      <c r="H70" s="11">
        <f>SupisPrac!H69</f>
        <v>0</v>
      </c>
      <c r="I70" s="11">
        <f t="shared" si="2"/>
        <v>0</v>
      </c>
    </row>
    <row r="71" spans="2:10" s="7" customFormat="1">
      <c r="B71" s="12"/>
      <c r="C71" s="9" t="s">
        <v>104</v>
      </c>
      <c r="D71" s="9" t="s">
        <v>147</v>
      </c>
      <c r="E71" s="10" t="s">
        <v>148</v>
      </c>
      <c r="F71" s="9" t="s">
        <v>724</v>
      </c>
      <c r="G71" s="11">
        <v>275.89</v>
      </c>
      <c r="H71" s="11">
        <f>SupisPrac!H70</f>
        <v>0</v>
      </c>
      <c r="I71" s="11">
        <f t="shared" si="2"/>
        <v>0</v>
      </c>
      <c r="J71" s="2"/>
    </row>
    <row r="72" spans="2:10" s="7" customFormat="1" ht="12">
      <c r="B72" s="12"/>
      <c r="C72" s="9" t="s">
        <v>104</v>
      </c>
      <c r="D72" s="9" t="s">
        <v>149</v>
      </c>
      <c r="E72" s="10" t="s">
        <v>150</v>
      </c>
      <c r="F72" s="9" t="s">
        <v>723</v>
      </c>
      <c r="G72" s="11">
        <v>127.52</v>
      </c>
      <c r="H72" s="11">
        <f>SupisPrac!H71</f>
        <v>0</v>
      </c>
      <c r="I72" s="11">
        <f t="shared" si="2"/>
        <v>0</v>
      </c>
    </row>
    <row r="73" spans="2:10" s="7" customFormat="1" ht="20.399999999999999">
      <c r="B73" s="19"/>
      <c r="C73" s="9" t="s">
        <v>152</v>
      </c>
      <c r="D73" s="9" t="s">
        <v>153</v>
      </c>
      <c r="E73" s="10" t="s">
        <v>154</v>
      </c>
      <c r="F73" s="9" t="s">
        <v>723</v>
      </c>
      <c r="G73" s="11">
        <v>997.86</v>
      </c>
      <c r="H73" s="11">
        <f>SupisPrac!H72</f>
        <v>0</v>
      </c>
      <c r="I73" s="11">
        <f t="shared" si="2"/>
        <v>0</v>
      </c>
    </row>
    <row r="74" spans="2:10" s="7" customFormat="1" ht="20.399999999999999">
      <c r="B74" s="12"/>
      <c r="C74" s="9" t="s">
        <v>152</v>
      </c>
      <c r="D74" s="9" t="s">
        <v>155</v>
      </c>
      <c r="E74" s="10" t="s">
        <v>156</v>
      </c>
      <c r="F74" s="9" t="s">
        <v>722</v>
      </c>
      <c r="G74" s="11">
        <v>42.95</v>
      </c>
      <c r="H74" s="11">
        <f>SupisPrac!H73</f>
        <v>0</v>
      </c>
      <c r="I74" s="11">
        <f t="shared" si="2"/>
        <v>0</v>
      </c>
      <c r="J74" s="2"/>
    </row>
    <row r="75" spans="2:10" s="7" customFormat="1" ht="20.399999999999999">
      <c r="B75" s="12"/>
      <c r="C75" s="9" t="s">
        <v>152</v>
      </c>
      <c r="D75" s="9" t="s">
        <v>157</v>
      </c>
      <c r="E75" s="10" t="s">
        <v>158</v>
      </c>
      <c r="F75" s="9" t="s">
        <v>722</v>
      </c>
      <c r="G75" s="11">
        <v>28.38</v>
      </c>
      <c r="H75" s="11">
        <f>SupisPrac!H74</f>
        <v>0</v>
      </c>
      <c r="I75" s="11">
        <f t="shared" si="2"/>
        <v>0</v>
      </c>
    </row>
    <row r="76" spans="2:10" s="7" customFormat="1" ht="20.399999999999999">
      <c r="B76" s="12"/>
      <c r="C76" s="9" t="s">
        <v>152</v>
      </c>
      <c r="D76" s="9" t="s">
        <v>159</v>
      </c>
      <c r="E76" s="10" t="s">
        <v>160</v>
      </c>
      <c r="F76" s="9" t="s">
        <v>722</v>
      </c>
      <c r="G76" s="11">
        <v>0.26</v>
      </c>
      <c r="H76" s="11">
        <f>SupisPrac!H75</f>
        <v>0</v>
      </c>
      <c r="I76" s="11">
        <f t="shared" si="2"/>
        <v>0</v>
      </c>
    </row>
    <row r="77" spans="2:10" s="7" customFormat="1">
      <c r="B77" s="12"/>
      <c r="C77" s="9" t="s">
        <v>152</v>
      </c>
      <c r="D77" s="9" t="s">
        <v>161</v>
      </c>
      <c r="E77" s="10" t="s">
        <v>162</v>
      </c>
      <c r="F77" s="9" t="s">
        <v>722</v>
      </c>
      <c r="G77" s="11">
        <v>11.58</v>
      </c>
      <c r="H77" s="11">
        <f>SupisPrac!H76</f>
        <v>0</v>
      </c>
      <c r="I77" s="11">
        <f t="shared" si="2"/>
        <v>0</v>
      </c>
      <c r="J77" s="2"/>
    </row>
    <row r="78" spans="2:10" s="7" customFormat="1" ht="20.399999999999999">
      <c r="B78" s="12"/>
      <c r="C78" s="9" t="s">
        <v>152</v>
      </c>
      <c r="D78" s="9" t="s">
        <v>163</v>
      </c>
      <c r="E78" s="10" t="s">
        <v>164</v>
      </c>
      <c r="F78" s="9" t="s">
        <v>724</v>
      </c>
      <c r="G78" s="11">
        <v>114</v>
      </c>
      <c r="H78" s="11">
        <f>SupisPrac!H77</f>
        <v>0</v>
      </c>
      <c r="I78" s="11">
        <f t="shared" si="2"/>
        <v>0</v>
      </c>
    </row>
    <row r="79" spans="2:10" s="7" customFormat="1" ht="12">
      <c r="B79" s="12"/>
      <c r="C79" s="9" t="s">
        <v>152</v>
      </c>
      <c r="D79" s="9" t="s">
        <v>165</v>
      </c>
      <c r="E79" s="10" t="s">
        <v>166</v>
      </c>
      <c r="F79" s="9" t="s">
        <v>724</v>
      </c>
      <c r="G79" s="11">
        <v>30.73</v>
      </c>
      <c r="H79" s="11">
        <f>SupisPrac!H78</f>
        <v>0</v>
      </c>
      <c r="I79" s="11">
        <f t="shared" ref="I79:I104" si="3">ROUND(G79*H79,2)</f>
        <v>0</v>
      </c>
    </row>
    <row r="80" spans="2:10" s="7" customFormat="1">
      <c r="B80" s="12"/>
      <c r="C80" s="9" t="s">
        <v>152</v>
      </c>
      <c r="D80" s="9" t="s">
        <v>167</v>
      </c>
      <c r="E80" s="10" t="s">
        <v>168</v>
      </c>
      <c r="F80" s="9" t="s">
        <v>724</v>
      </c>
      <c r="G80" s="11">
        <v>63.22</v>
      </c>
      <c r="H80" s="11">
        <f>SupisPrac!H79</f>
        <v>0</v>
      </c>
      <c r="I80" s="11">
        <f t="shared" si="3"/>
        <v>0</v>
      </c>
      <c r="J80" s="2"/>
    </row>
    <row r="81" spans="2:10" s="7" customFormat="1" ht="12">
      <c r="B81" s="12"/>
      <c r="C81" s="9" t="s">
        <v>152</v>
      </c>
      <c r="D81" s="9" t="s">
        <v>169</v>
      </c>
      <c r="E81" s="10" t="s">
        <v>170</v>
      </c>
      <c r="F81" s="9" t="s">
        <v>725</v>
      </c>
      <c r="G81" s="11">
        <v>10</v>
      </c>
      <c r="H81" s="11">
        <f>SupisPrac!H80</f>
        <v>0</v>
      </c>
      <c r="I81" s="11">
        <f t="shared" si="3"/>
        <v>0</v>
      </c>
    </row>
    <row r="82" spans="2:10" s="7" customFormat="1" ht="20.399999999999999">
      <c r="B82" s="12"/>
      <c r="C82" s="9" t="s">
        <v>152</v>
      </c>
      <c r="D82" s="9" t="s">
        <v>171</v>
      </c>
      <c r="E82" s="10" t="s">
        <v>172</v>
      </c>
      <c r="F82" s="9" t="s">
        <v>725</v>
      </c>
      <c r="G82" s="11">
        <v>4</v>
      </c>
      <c r="H82" s="11">
        <f>SupisPrac!H81</f>
        <v>0</v>
      </c>
      <c r="I82" s="11">
        <f t="shared" si="3"/>
        <v>0</v>
      </c>
    </row>
    <row r="83" spans="2:10" s="7" customFormat="1">
      <c r="B83" s="12"/>
      <c r="C83" s="9" t="s">
        <v>152</v>
      </c>
      <c r="D83" s="9" t="s">
        <v>173</v>
      </c>
      <c r="E83" s="10" t="s">
        <v>174</v>
      </c>
      <c r="F83" s="9" t="s">
        <v>724</v>
      </c>
      <c r="G83" s="11">
        <v>5.5</v>
      </c>
      <c r="H83" s="11">
        <f>SupisPrac!H82</f>
        <v>0</v>
      </c>
      <c r="I83" s="11">
        <f t="shared" si="3"/>
        <v>0</v>
      </c>
      <c r="J83" s="2"/>
    </row>
    <row r="84" spans="2:10" s="7" customFormat="1" ht="12">
      <c r="B84" s="19"/>
      <c r="C84" s="9" t="s">
        <v>176</v>
      </c>
      <c r="D84" s="9" t="s">
        <v>177</v>
      </c>
      <c r="E84" s="10" t="s">
        <v>178</v>
      </c>
      <c r="F84" s="9" t="s">
        <v>722</v>
      </c>
      <c r="G84" s="11">
        <v>72.47</v>
      </c>
      <c r="H84" s="11">
        <f>SupisPrac!H83</f>
        <v>0</v>
      </c>
      <c r="I84" s="11">
        <f t="shared" si="3"/>
        <v>0</v>
      </c>
    </row>
    <row r="85" spans="2:10" s="7" customFormat="1" ht="12">
      <c r="B85" s="12"/>
      <c r="C85" s="9" t="s">
        <v>176</v>
      </c>
      <c r="D85" s="9" t="s">
        <v>179</v>
      </c>
      <c r="E85" s="10" t="s">
        <v>180</v>
      </c>
      <c r="F85" s="9" t="s">
        <v>722</v>
      </c>
      <c r="G85" s="11">
        <v>7.58</v>
      </c>
      <c r="H85" s="11">
        <f>SupisPrac!H84</f>
        <v>0</v>
      </c>
      <c r="I85" s="11">
        <f t="shared" si="3"/>
        <v>0</v>
      </c>
    </row>
    <row r="86" spans="2:10" s="7" customFormat="1" ht="20.399999999999999">
      <c r="B86" s="12"/>
      <c r="C86" s="9" t="s">
        <v>176</v>
      </c>
      <c r="D86" s="9" t="s">
        <v>181</v>
      </c>
      <c r="E86" s="10" t="s">
        <v>182</v>
      </c>
      <c r="F86" s="9" t="s">
        <v>722</v>
      </c>
      <c r="G86" s="11">
        <v>49.41</v>
      </c>
      <c r="H86" s="11">
        <f>SupisPrac!H85</f>
        <v>0</v>
      </c>
      <c r="I86" s="11">
        <f t="shared" si="3"/>
        <v>0</v>
      </c>
      <c r="J86" s="2"/>
    </row>
    <row r="87" spans="2:10" s="7" customFormat="1" ht="20.399999999999999">
      <c r="B87" s="12"/>
      <c r="C87" s="9" t="s">
        <v>176</v>
      </c>
      <c r="D87" s="9" t="s">
        <v>183</v>
      </c>
      <c r="E87" s="10" t="s">
        <v>184</v>
      </c>
      <c r="F87" s="9" t="s">
        <v>723</v>
      </c>
      <c r="G87" s="11">
        <v>274.52</v>
      </c>
      <c r="H87" s="11">
        <f>SupisPrac!H86</f>
        <v>0</v>
      </c>
      <c r="I87" s="11">
        <f t="shared" si="3"/>
        <v>0</v>
      </c>
    </row>
    <row r="88" spans="2:10" s="7" customFormat="1" ht="12">
      <c r="B88" s="19"/>
      <c r="C88" s="9" t="s">
        <v>186</v>
      </c>
      <c r="D88" s="9" t="s">
        <v>187</v>
      </c>
      <c r="E88" s="10" t="s">
        <v>188</v>
      </c>
      <c r="F88" s="9" t="s">
        <v>722</v>
      </c>
      <c r="G88" s="11">
        <v>5.25</v>
      </c>
      <c r="H88" s="11">
        <f>SupisPrac!H87</f>
        <v>0</v>
      </c>
      <c r="I88" s="11">
        <f t="shared" si="3"/>
        <v>0</v>
      </c>
    </row>
    <row r="89" spans="2:10" s="7" customFormat="1">
      <c r="B89" s="19"/>
      <c r="C89" s="9" t="s">
        <v>190</v>
      </c>
      <c r="D89" s="9" t="s">
        <v>191</v>
      </c>
      <c r="E89" s="10" t="s">
        <v>192</v>
      </c>
      <c r="F89" s="9" t="s">
        <v>722</v>
      </c>
      <c r="G89" s="11">
        <v>372.05</v>
      </c>
      <c r="H89" s="11">
        <f>SupisPrac!H88</f>
        <v>0</v>
      </c>
      <c r="I89" s="11">
        <f t="shared" si="3"/>
        <v>0</v>
      </c>
      <c r="J89" s="2"/>
    </row>
    <row r="90" spans="2:10" s="7" customFormat="1" ht="12">
      <c r="B90" s="12"/>
      <c r="C90" s="9" t="s">
        <v>190</v>
      </c>
      <c r="D90" s="9" t="s">
        <v>193</v>
      </c>
      <c r="E90" s="10" t="s">
        <v>194</v>
      </c>
      <c r="F90" s="9" t="s">
        <v>723</v>
      </c>
      <c r="G90" s="11">
        <v>8.14</v>
      </c>
      <c r="H90" s="11">
        <f>SupisPrac!H89</f>
        <v>0</v>
      </c>
      <c r="I90" s="11">
        <f t="shared" si="3"/>
        <v>0</v>
      </c>
    </row>
    <row r="91" spans="2:10" s="7" customFormat="1" ht="12">
      <c r="B91" s="12"/>
      <c r="C91" s="9" t="s">
        <v>190</v>
      </c>
      <c r="D91" s="9" t="s">
        <v>195</v>
      </c>
      <c r="E91" s="10" t="s">
        <v>196</v>
      </c>
      <c r="F91" s="9" t="s">
        <v>721</v>
      </c>
      <c r="G91" s="11">
        <v>4.51</v>
      </c>
      <c r="H91" s="11">
        <f>SupisPrac!H90</f>
        <v>0</v>
      </c>
      <c r="I91" s="11">
        <f t="shared" si="3"/>
        <v>0</v>
      </c>
    </row>
    <row r="92" spans="2:10" s="7" customFormat="1">
      <c r="B92" s="12"/>
      <c r="C92" s="9" t="s">
        <v>190</v>
      </c>
      <c r="D92" s="9" t="s">
        <v>197</v>
      </c>
      <c r="E92" s="10" t="s">
        <v>198</v>
      </c>
      <c r="F92" s="9" t="s">
        <v>723</v>
      </c>
      <c r="G92" s="11">
        <v>8.3000000000000007</v>
      </c>
      <c r="H92" s="11">
        <f>SupisPrac!H91</f>
        <v>0</v>
      </c>
      <c r="I92" s="11">
        <f t="shared" si="3"/>
        <v>0</v>
      </c>
      <c r="J92" s="2"/>
    </row>
    <row r="93" spans="2:10" s="7" customFormat="1" ht="12">
      <c r="B93" s="37"/>
      <c r="C93" s="14" t="s">
        <v>712</v>
      </c>
      <c r="D93" s="14" t="s">
        <v>713</v>
      </c>
      <c r="E93" s="15" t="s">
        <v>714</v>
      </c>
      <c r="F93" s="9" t="s">
        <v>723</v>
      </c>
      <c r="G93" s="11">
        <v>610.30999999999995</v>
      </c>
      <c r="H93" s="11">
        <f>SupisPrac!H92</f>
        <v>0</v>
      </c>
      <c r="I93" s="11">
        <f t="shared" si="3"/>
        <v>0</v>
      </c>
    </row>
    <row r="94" spans="2:10" s="7" customFormat="1" ht="12">
      <c r="B94" s="12"/>
      <c r="C94" s="14" t="s">
        <v>712</v>
      </c>
      <c r="D94" s="14" t="s">
        <v>715</v>
      </c>
      <c r="E94" s="15" t="s">
        <v>716</v>
      </c>
      <c r="F94" s="9" t="s">
        <v>723</v>
      </c>
      <c r="G94" s="11">
        <v>383.42</v>
      </c>
      <c r="H94" s="11">
        <f>SupisPrac!H93</f>
        <v>0</v>
      </c>
      <c r="I94" s="11">
        <f t="shared" si="3"/>
        <v>0</v>
      </c>
    </row>
    <row r="95" spans="2:10" s="7" customFormat="1">
      <c r="B95" s="38"/>
      <c r="C95" s="14" t="s">
        <v>712</v>
      </c>
      <c r="D95" s="14" t="s">
        <v>717</v>
      </c>
      <c r="E95" s="15" t="s">
        <v>718</v>
      </c>
      <c r="F95" s="9" t="s">
        <v>723</v>
      </c>
      <c r="G95" s="11">
        <v>923.23</v>
      </c>
      <c r="H95" s="11">
        <f>SupisPrac!H94</f>
        <v>0</v>
      </c>
      <c r="I95" s="11">
        <f t="shared" si="3"/>
        <v>0</v>
      </c>
      <c r="J95" s="2"/>
    </row>
    <row r="96" spans="2:10" s="7" customFormat="1" ht="12">
      <c r="B96" s="19"/>
      <c r="C96" s="9" t="s">
        <v>205</v>
      </c>
      <c r="D96" s="9" t="s">
        <v>206</v>
      </c>
      <c r="E96" s="10" t="s">
        <v>207</v>
      </c>
      <c r="F96" s="9" t="s">
        <v>724</v>
      </c>
      <c r="G96" s="11">
        <v>115.15</v>
      </c>
      <c r="H96" s="11">
        <f>SupisPrac!H95</f>
        <v>0</v>
      </c>
      <c r="I96" s="11">
        <f t="shared" si="3"/>
        <v>0</v>
      </c>
    </row>
    <row r="97" spans="2:10" s="7" customFormat="1" ht="12">
      <c r="B97" s="12"/>
      <c r="C97" s="9" t="s">
        <v>205</v>
      </c>
      <c r="D97" s="9" t="s">
        <v>208</v>
      </c>
      <c r="E97" s="10" t="s">
        <v>209</v>
      </c>
      <c r="F97" s="9" t="s">
        <v>723</v>
      </c>
      <c r="G97" s="11">
        <v>19.27</v>
      </c>
      <c r="H97" s="11">
        <f>SupisPrac!H96</f>
        <v>0</v>
      </c>
      <c r="I97" s="11">
        <f t="shared" si="3"/>
        <v>0</v>
      </c>
    </row>
    <row r="98" spans="2:10" s="7" customFormat="1">
      <c r="B98" s="19"/>
      <c r="C98" s="9" t="s">
        <v>211</v>
      </c>
      <c r="D98" s="9" t="s">
        <v>212</v>
      </c>
      <c r="E98" s="10" t="s">
        <v>213</v>
      </c>
      <c r="F98" s="9" t="s">
        <v>722</v>
      </c>
      <c r="G98" s="11">
        <v>1.21</v>
      </c>
      <c r="H98" s="11">
        <f>SupisPrac!H97</f>
        <v>0</v>
      </c>
      <c r="I98" s="11">
        <f t="shared" si="3"/>
        <v>0</v>
      </c>
      <c r="J98" s="2"/>
    </row>
    <row r="99" spans="2:10" s="7" customFormat="1" ht="12">
      <c r="B99" s="12"/>
      <c r="C99" s="9" t="s">
        <v>211</v>
      </c>
      <c r="D99" s="9" t="s">
        <v>214</v>
      </c>
      <c r="E99" s="10" t="s">
        <v>215</v>
      </c>
      <c r="F99" s="9" t="s">
        <v>723</v>
      </c>
      <c r="G99" s="11">
        <v>6.82</v>
      </c>
      <c r="H99" s="11">
        <f>SupisPrac!H98</f>
        <v>0</v>
      </c>
      <c r="I99" s="11">
        <f t="shared" si="3"/>
        <v>0</v>
      </c>
    </row>
    <row r="100" spans="2:10" s="7" customFormat="1" ht="12">
      <c r="B100" s="12"/>
      <c r="C100" s="9" t="s">
        <v>211</v>
      </c>
      <c r="D100" s="9" t="s">
        <v>216</v>
      </c>
      <c r="E100" s="10" t="s">
        <v>217</v>
      </c>
      <c r="F100" s="9" t="s">
        <v>721</v>
      </c>
      <c r="G100" s="11">
        <v>0.31</v>
      </c>
      <c r="H100" s="11">
        <f>SupisPrac!H99</f>
        <v>0</v>
      </c>
      <c r="I100" s="11">
        <f t="shared" si="3"/>
        <v>0</v>
      </c>
    </row>
    <row r="101" spans="2:10" s="7" customFormat="1">
      <c r="B101" s="19"/>
      <c r="C101" s="9" t="s">
        <v>219</v>
      </c>
      <c r="D101" s="9" t="s">
        <v>220</v>
      </c>
      <c r="E101" s="10" t="s">
        <v>221</v>
      </c>
      <c r="F101" s="9" t="s">
        <v>723</v>
      </c>
      <c r="G101" s="11">
        <v>685.57</v>
      </c>
      <c r="H101" s="11">
        <f>SupisPrac!H100</f>
        <v>0</v>
      </c>
      <c r="I101" s="11">
        <f t="shared" si="3"/>
        <v>0</v>
      </c>
      <c r="J101" s="2"/>
    </row>
    <row r="102" spans="2:10" s="7" customFormat="1" ht="20.399999999999999">
      <c r="B102" s="12"/>
      <c r="C102" s="9" t="s">
        <v>219</v>
      </c>
      <c r="D102" s="9" t="s">
        <v>222</v>
      </c>
      <c r="E102" s="10" t="s">
        <v>223</v>
      </c>
      <c r="F102" s="9" t="s">
        <v>723</v>
      </c>
      <c r="G102" s="11">
        <v>491.7</v>
      </c>
      <c r="H102" s="11">
        <f>SupisPrac!H101</f>
        <v>0</v>
      </c>
      <c r="I102" s="11">
        <f t="shared" si="3"/>
        <v>0</v>
      </c>
    </row>
    <row r="103" spans="2:10" s="7" customFormat="1" ht="12">
      <c r="B103" s="19"/>
      <c r="C103" s="9" t="s">
        <v>225</v>
      </c>
      <c r="D103" s="9" t="s">
        <v>226</v>
      </c>
      <c r="E103" s="10" t="s">
        <v>227</v>
      </c>
      <c r="F103" s="9" t="s">
        <v>723</v>
      </c>
      <c r="G103" s="11">
        <v>245.13</v>
      </c>
      <c r="H103" s="11">
        <f>SupisPrac!H102</f>
        <v>0</v>
      </c>
      <c r="I103" s="11">
        <f t="shared" si="3"/>
        <v>0</v>
      </c>
    </row>
    <row r="104" spans="2:10" s="7" customFormat="1">
      <c r="B104" s="20"/>
      <c r="C104" s="9" t="s">
        <v>225</v>
      </c>
      <c r="D104" s="9" t="s">
        <v>228</v>
      </c>
      <c r="E104" s="10" t="s">
        <v>229</v>
      </c>
      <c r="F104" s="9" t="s">
        <v>723</v>
      </c>
      <c r="G104" s="11">
        <v>815.68</v>
      </c>
      <c r="H104" s="11">
        <f>SupisPrac!H103</f>
        <v>0</v>
      </c>
      <c r="I104" s="11">
        <f t="shared" si="3"/>
        <v>0</v>
      </c>
      <c r="J104" s="2"/>
    </row>
    <row r="105" spans="2:10" s="35" customFormat="1" ht="12">
      <c r="B105" s="43" t="s">
        <v>594</v>
      </c>
      <c r="C105" s="44"/>
      <c r="D105" s="44"/>
      <c r="E105" s="44"/>
      <c r="F105" s="44"/>
      <c r="G105" s="44"/>
      <c r="H105" s="44"/>
      <c r="I105" s="17">
        <f>SUM(I14:I104)</f>
        <v>0</v>
      </c>
    </row>
    <row r="106" spans="2:10">
      <c r="B106" s="45" t="s">
        <v>7</v>
      </c>
      <c r="C106" s="46"/>
      <c r="D106" s="46"/>
      <c r="E106" s="46"/>
      <c r="F106" s="46"/>
      <c r="G106" s="47"/>
      <c r="H106" s="39"/>
      <c r="I106" s="39">
        <f>I105+I13</f>
        <v>0</v>
      </c>
    </row>
    <row r="110" spans="2:10">
      <c r="D110" s="54"/>
      <c r="E110" s="2"/>
    </row>
    <row r="111" spans="2:10">
      <c r="B111" s="50" t="s">
        <v>729</v>
      </c>
      <c r="C111" s="54"/>
      <c r="D111" s="54"/>
      <c r="E111" s="2"/>
    </row>
    <row r="112" spans="2:10">
      <c r="B112" s="2"/>
      <c r="D112" s="54"/>
      <c r="E112" s="2"/>
      <c r="F112" s="48"/>
      <c r="G112" s="48"/>
      <c r="H112" s="48"/>
    </row>
    <row r="113" spans="2:8">
      <c r="B113" s="50" t="s">
        <v>731</v>
      </c>
      <c r="C113" s="54"/>
      <c r="E113" s="2"/>
      <c r="F113" s="56" t="s">
        <v>730</v>
      </c>
      <c r="G113" s="56"/>
      <c r="H113" s="56"/>
    </row>
    <row r="114" spans="2:8" ht="29.4" customHeight="1">
      <c r="B114" s="60"/>
      <c r="C114" s="54"/>
      <c r="E114" s="2"/>
      <c r="F114" s="59" t="s">
        <v>732</v>
      </c>
      <c r="G114" s="59"/>
      <c r="H114" s="59"/>
    </row>
    <row r="115" spans="2:8">
      <c r="E115" s="2"/>
    </row>
  </sheetData>
  <sheetProtection algorithmName="SHA-512" hashValue="4XqLjY25KtftbJoPqfoOY9RAjSErVmchmmBHMLUALHEYUBZaklqfVEeKikLvpyVsBTaoKwPtqhGpZ3olDzKDIA==" saltValue="sVf2+RJcrGeeTaSsRN2rog==" spinCount="100000" sheet="1"/>
  <mergeCells count="7">
    <mergeCell ref="F113:H113"/>
    <mergeCell ref="F114:H114"/>
    <mergeCell ref="C3:D3"/>
    <mergeCell ref="B13:H13"/>
    <mergeCell ref="B105:H105"/>
    <mergeCell ref="B106:G106"/>
    <mergeCell ref="F112:H112"/>
  </mergeCells>
  <pageMargins left="0.43307086614173229" right="0.43307086614173229" top="0.57550505050505052" bottom="0.62992125984251968" header="0.27559055118110237" footer="0.27559055118110237"/>
  <pageSetup scale="88" fitToHeight="0" orientation="landscape" errors="blank" r:id="rId1"/>
  <headerFooter>
    <oddHeader>&amp;LOprava mosta ev.č. R1-168.1 vetva v križovatke Kováčová&amp;R&amp;"-,Normálne"&amp;11Príloha č.3 k B2 -Výkaz výmer 
(zároveň Príloha č.2 k Zmluve)
Časti stavby</oddHeader>
    <oddFooter>&amp;RStrana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16" zoomScale="70" zoomScaleNormal="70" zoomScaleSheetLayoutView="85" zoomScalePageLayoutView="70" workbookViewId="0">
      <selection activeCell="F44" sqref="F44:H44"/>
    </sheetView>
  </sheetViews>
  <sheetFormatPr defaultColWidth="8.88671875" defaultRowHeight="15.6"/>
  <cols>
    <col min="1" max="1" width="18.88671875" style="69" customWidth="1"/>
    <col min="2" max="2" width="5.109375" style="69" customWidth="1"/>
    <col min="3" max="3" width="10.109375" style="70" customWidth="1"/>
    <col min="4" max="4" width="12.109375" style="71" customWidth="1"/>
    <col min="5" max="5" width="109" style="68" customWidth="1"/>
    <col min="6" max="6" width="12" style="61" customWidth="1"/>
    <col min="7" max="7" width="5.109375" style="65" customWidth="1"/>
    <col min="8" max="8" width="13.21875" style="53" customWidth="1"/>
    <col min="9" max="9" width="3.109375" style="66" hidden="1" customWidth="1"/>
    <col min="10" max="10" width="8.88671875" style="53" customWidth="1"/>
    <col min="11" max="16384" width="8.88671875" style="53"/>
  </cols>
  <sheetData>
    <row r="1" spans="1:9" ht="12.75" customHeight="1">
      <c r="A1" s="53" t="s">
        <v>232</v>
      </c>
      <c r="B1" s="53"/>
      <c r="C1" s="61"/>
      <c r="D1" s="62" t="s">
        <v>588</v>
      </c>
      <c r="E1" s="63" t="s">
        <v>589</v>
      </c>
      <c r="F1" s="64"/>
    </row>
    <row r="2" spans="1:9" ht="12.75" customHeight="1">
      <c r="A2" s="53" t="s">
        <v>595</v>
      </c>
      <c r="B2" s="53"/>
      <c r="C2" s="61"/>
      <c r="D2" s="62" t="s">
        <v>590</v>
      </c>
      <c r="E2" s="61" t="s">
        <v>233</v>
      </c>
      <c r="F2" s="67"/>
    </row>
    <row r="3" spans="1:9" ht="12.75" customHeight="1">
      <c r="A3" s="53" t="s">
        <v>596</v>
      </c>
      <c r="B3" s="53"/>
      <c r="C3" s="61"/>
      <c r="D3" s="62"/>
    </row>
    <row r="4" spans="1:9" ht="12.75" customHeight="1"/>
    <row r="5" spans="1:9" ht="14.4">
      <c r="A5" s="72" t="s">
        <v>597</v>
      </c>
      <c r="B5" s="73" t="s">
        <v>9</v>
      </c>
      <c r="C5" s="74"/>
      <c r="D5" s="74"/>
      <c r="E5" s="75" t="s">
        <v>598</v>
      </c>
      <c r="F5" s="76"/>
      <c r="G5" s="77" t="s">
        <v>11</v>
      </c>
      <c r="H5" s="78" t="s">
        <v>12</v>
      </c>
      <c r="I5" s="79" t="s">
        <v>5</v>
      </c>
    </row>
    <row r="6" spans="1:9" ht="14.4">
      <c r="A6" s="80" t="s">
        <v>599</v>
      </c>
      <c r="B6" s="81" t="s">
        <v>600</v>
      </c>
      <c r="C6" s="81" t="s">
        <v>601</v>
      </c>
      <c r="D6" s="81" t="s">
        <v>602</v>
      </c>
      <c r="E6" s="81" t="s">
        <v>603</v>
      </c>
      <c r="F6" s="81" t="s">
        <v>604</v>
      </c>
      <c r="G6" s="82"/>
      <c r="H6" s="83"/>
      <c r="I6" s="84"/>
    </row>
    <row r="7" spans="1:9" ht="12.75" customHeight="1">
      <c r="A7" s="85"/>
      <c r="B7" s="86"/>
      <c r="C7" s="87"/>
      <c r="D7" s="88"/>
      <c r="E7" s="89"/>
      <c r="F7" s="90"/>
      <c r="G7" s="91"/>
      <c r="H7" s="92"/>
      <c r="I7" s="93"/>
    </row>
    <row r="8" spans="1:9" ht="12.75" customHeight="1">
      <c r="A8" s="94" t="s">
        <v>605</v>
      </c>
      <c r="B8" s="95"/>
      <c r="C8" s="96"/>
      <c r="D8" s="97"/>
      <c r="E8" s="98" t="s">
        <v>235</v>
      </c>
      <c r="F8" s="99"/>
      <c r="G8" s="96"/>
      <c r="H8" s="100"/>
      <c r="I8" s="101"/>
    </row>
    <row r="9" spans="1:9" ht="12.75" customHeight="1">
      <c r="A9" s="102"/>
      <c r="B9" s="103" t="s">
        <v>607</v>
      </c>
      <c r="C9" s="104" t="s">
        <v>16</v>
      </c>
      <c r="D9" s="105"/>
      <c r="E9" s="106" t="s">
        <v>17</v>
      </c>
      <c r="F9" s="107"/>
      <c r="G9" s="104" t="s">
        <v>721</v>
      </c>
      <c r="H9" s="108">
        <v>3112.23</v>
      </c>
      <c r="I9" s="53"/>
    </row>
    <row r="10" spans="1:9" ht="12.75" customHeight="1">
      <c r="A10" s="109"/>
      <c r="B10" s="103"/>
      <c r="C10" s="104"/>
      <c r="D10" s="97" t="s">
        <v>16</v>
      </c>
      <c r="E10" s="110" t="s">
        <v>727</v>
      </c>
      <c r="F10" s="111">
        <v>3112.23</v>
      </c>
      <c r="G10" s="112"/>
      <c r="H10" s="113"/>
      <c r="I10" s="53"/>
    </row>
    <row r="11" spans="1:9" ht="12.75" customHeight="1">
      <c r="A11" s="102"/>
      <c r="B11" s="103" t="s">
        <v>608</v>
      </c>
      <c r="C11" s="104" t="s">
        <v>18</v>
      </c>
      <c r="D11" s="105"/>
      <c r="E11" s="106" t="s">
        <v>19</v>
      </c>
      <c r="F11" s="107"/>
      <c r="G11" s="104" t="s">
        <v>721</v>
      </c>
      <c r="H11" s="108">
        <v>1634.95</v>
      </c>
      <c r="I11" s="53"/>
    </row>
    <row r="12" spans="1:9" ht="12.75" customHeight="1">
      <c r="A12" s="109"/>
      <c r="B12" s="103"/>
      <c r="C12" s="104"/>
      <c r="D12" s="97" t="s">
        <v>18</v>
      </c>
      <c r="E12" s="110" t="s">
        <v>728</v>
      </c>
      <c r="F12" s="111"/>
      <c r="G12" s="112"/>
      <c r="H12" s="113"/>
      <c r="I12" s="53"/>
    </row>
    <row r="13" spans="1:9" ht="12.75" customHeight="1">
      <c r="A13" s="109"/>
      <c r="B13" s="103"/>
      <c r="C13" s="104"/>
      <c r="D13" s="97"/>
      <c r="E13" s="110" t="s">
        <v>719</v>
      </c>
      <c r="F13" s="111">
        <v>1634.95</v>
      </c>
      <c r="G13" s="112"/>
      <c r="H13" s="113"/>
      <c r="I13" s="53"/>
    </row>
    <row r="14" spans="1:9" ht="12.75" customHeight="1">
      <c r="A14" s="109"/>
      <c r="B14" s="103" t="s">
        <v>609</v>
      </c>
      <c r="C14" s="104" t="s">
        <v>20</v>
      </c>
      <c r="D14" s="105"/>
      <c r="E14" s="106" t="s">
        <v>21</v>
      </c>
      <c r="F14" s="107"/>
      <c r="G14" s="104" t="s">
        <v>721</v>
      </c>
      <c r="H14" s="108">
        <v>255.85</v>
      </c>
      <c r="I14" s="53"/>
    </row>
    <row r="15" spans="1:9" ht="12.75" customHeight="1">
      <c r="A15" s="109"/>
      <c r="B15" s="103"/>
      <c r="C15" s="104"/>
      <c r="D15" s="97" t="s">
        <v>20</v>
      </c>
      <c r="E15" s="110" t="s">
        <v>21</v>
      </c>
      <c r="F15" s="111"/>
      <c r="G15" s="112"/>
      <c r="H15" s="113"/>
      <c r="I15" s="53"/>
    </row>
    <row r="16" spans="1:9" ht="12.75" customHeight="1">
      <c r="A16" s="109"/>
      <c r="B16" s="103"/>
      <c r="C16" s="114"/>
      <c r="D16" s="97"/>
      <c r="E16" s="110" t="s">
        <v>720</v>
      </c>
      <c r="F16" s="111">
        <v>255.85</v>
      </c>
      <c r="G16" s="115"/>
      <c r="H16" s="113"/>
      <c r="I16" s="53"/>
    </row>
    <row r="17" spans="1:9" ht="12.75" customHeight="1">
      <c r="A17" s="102"/>
      <c r="B17" s="103"/>
      <c r="C17" s="116"/>
      <c r="D17" s="97"/>
      <c r="E17" s="117" t="s">
        <v>233</v>
      </c>
      <c r="F17" s="118"/>
      <c r="G17" s="119"/>
      <c r="H17" s="120"/>
      <c r="I17" s="53"/>
    </row>
    <row r="18" spans="1:9" ht="12.75" customHeight="1">
      <c r="A18" s="121"/>
      <c r="B18" s="122">
        <v>4</v>
      </c>
      <c r="C18" s="123" t="s">
        <v>22</v>
      </c>
      <c r="D18" s="124"/>
      <c r="E18" s="123" t="s">
        <v>23</v>
      </c>
      <c r="F18" s="125"/>
      <c r="G18" s="126" t="s">
        <v>610</v>
      </c>
      <c r="H18" s="127">
        <v>1</v>
      </c>
      <c r="I18" s="124"/>
    </row>
    <row r="19" spans="1:9" ht="12.75" customHeight="1">
      <c r="A19" s="121"/>
      <c r="B19" s="122"/>
      <c r="C19" s="124"/>
      <c r="D19" s="124"/>
      <c r="E19" s="124" t="s">
        <v>635</v>
      </c>
      <c r="F19" s="128">
        <v>1</v>
      </c>
      <c r="G19" s="129"/>
      <c r="H19" s="130"/>
      <c r="I19" s="124"/>
    </row>
    <row r="20" spans="1:9" ht="12.75" customHeight="1">
      <c r="A20" s="121"/>
      <c r="B20" s="122">
        <v>5</v>
      </c>
      <c r="C20" s="123" t="s">
        <v>24</v>
      </c>
      <c r="D20" s="124"/>
      <c r="E20" s="123" t="s">
        <v>234</v>
      </c>
      <c r="F20" s="125"/>
      <c r="G20" s="126" t="s">
        <v>610</v>
      </c>
      <c r="H20" s="127">
        <v>1</v>
      </c>
      <c r="I20" s="124"/>
    </row>
    <row r="21" spans="1:9" ht="12.75" customHeight="1">
      <c r="A21" s="121"/>
      <c r="B21" s="122"/>
      <c r="C21" s="124"/>
      <c r="D21" s="124"/>
      <c r="E21" s="124" t="s">
        <v>611</v>
      </c>
      <c r="F21" s="128">
        <v>1</v>
      </c>
      <c r="G21" s="129"/>
      <c r="H21" s="130"/>
      <c r="I21" s="124"/>
    </row>
    <row r="22" spans="1:9" ht="12.75" customHeight="1">
      <c r="A22" s="121"/>
      <c r="B22" s="122">
        <v>6</v>
      </c>
      <c r="C22" s="123" t="s">
        <v>25</v>
      </c>
      <c r="D22" s="124"/>
      <c r="E22" s="123" t="s">
        <v>613</v>
      </c>
      <c r="F22" s="125"/>
      <c r="G22" s="126" t="s">
        <v>610</v>
      </c>
      <c r="H22" s="127">
        <v>2</v>
      </c>
      <c r="I22" s="124"/>
    </row>
    <row r="23" spans="1:9" ht="12.75" customHeight="1">
      <c r="A23" s="121"/>
      <c r="B23" s="122"/>
      <c r="C23" s="124"/>
      <c r="D23" s="124"/>
      <c r="E23" s="124" t="s">
        <v>614</v>
      </c>
      <c r="F23" s="128">
        <v>1</v>
      </c>
      <c r="G23" s="129"/>
      <c r="H23" s="130"/>
      <c r="I23" s="124"/>
    </row>
    <row r="24" spans="1:9" ht="12.75" customHeight="1">
      <c r="A24" s="121"/>
      <c r="B24" s="122"/>
      <c r="C24" s="124"/>
      <c r="D24" s="124"/>
      <c r="E24" s="124" t="s">
        <v>615</v>
      </c>
      <c r="F24" s="128">
        <v>1</v>
      </c>
      <c r="G24" s="129"/>
      <c r="H24" s="130"/>
      <c r="I24" s="124"/>
    </row>
    <row r="25" spans="1:9" ht="12.75" customHeight="1">
      <c r="A25" s="121"/>
      <c r="B25" s="122"/>
      <c r="C25" s="124"/>
      <c r="D25" s="124"/>
      <c r="E25" s="124" t="s">
        <v>616</v>
      </c>
      <c r="F25" s="128">
        <v>2</v>
      </c>
      <c r="G25" s="129"/>
      <c r="H25" s="130"/>
      <c r="I25" s="124"/>
    </row>
    <row r="26" spans="1:9" ht="12.75" customHeight="1">
      <c r="A26" s="121"/>
      <c r="B26" s="122">
        <v>7</v>
      </c>
      <c r="C26" s="123" t="s">
        <v>26</v>
      </c>
      <c r="D26" s="124"/>
      <c r="E26" s="123" t="s">
        <v>618</v>
      </c>
      <c r="F26" s="125"/>
      <c r="G26" s="126" t="s">
        <v>610</v>
      </c>
      <c r="H26" s="127">
        <v>2</v>
      </c>
      <c r="I26" s="124"/>
    </row>
    <row r="27" spans="1:9" ht="12.75" customHeight="1">
      <c r="A27" s="121"/>
      <c r="B27" s="122"/>
      <c r="C27" s="124"/>
      <c r="D27" s="124"/>
      <c r="E27" s="124" t="s">
        <v>619</v>
      </c>
      <c r="F27" s="128">
        <v>1</v>
      </c>
      <c r="G27" s="129"/>
      <c r="H27" s="130"/>
      <c r="I27" s="124"/>
    </row>
    <row r="28" spans="1:9" ht="12.75" customHeight="1">
      <c r="A28" s="121"/>
      <c r="B28" s="122"/>
      <c r="C28" s="124"/>
      <c r="D28" s="124"/>
      <c r="E28" s="124" t="s">
        <v>620</v>
      </c>
      <c r="F28" s="128">
        <v>1</v>
      </c>
      <c r="G28" s="129"/>
      <c r="H28" s="130"/>
      <c r="I28" s="124"/>
    </row>
    <row r="29" spans="1:9" ht="12.75" customHeight="1">
      <c r="A29" s="121"/>
      <c r="B29" s="122"/>
      <c r="C29" s="124"/>
      <c r="D29" s="124"/>
      <c r="E29" s="124" t="s">
        <v>616</v>
      </c>
      <c r="F29" s="128">
        <v>2</v>
      </c>
      <c r="G29" s="129"/>
      <c r="H29" s="130"/>
      <c r="I29" s="124"/>
    </row>
    <row r="30" spans="1:9" ht="31.2" customHeight="1">
      <c r="A30" s="121"/>
      <c r="B30" s="122">
        <v>8</v>
      </c>
      <c r="C30" s="123" t="s">
        <v>622</v>
      </c>
      <c r="D30" s="124"/>
      <c r="E30" s="131" t="s">
        <v>623</v>
      </c>
      <c r="F30" s="125"/>
      <c r="G30" s="126" t="s">
        <v>610</v>
      </c>
      <c r="H30" s="127">
        <v>1</v>
      </c>
      <c r="I30" s="124"/>
    </row>
    <row r="31" spans="1:9" ht="12.75" customHeight="1">
      <c r="A31" s="121"/>
      <c r="B31" s="122"/>
      <c r="C31" s="124"/>
      <c r="D31" s="124"/>
      <c r="E31" s="132" t="s">
        <v>236</v>
      </c>
      <c r="F31" s="128">
        <v>1</v>
      </c>
      <c r="G31" s="129"/>
      <c r="H31" s="130"/>
      <c r="I31" s="124"/>
    </row>
    <row r="32" spans="1:9" ht="25.2" customHeight="1">
      <c r="A32" s="121"/>
      <c r="B32" s="122">
        <v>9</v>
      </c>
      <c r="C32" s="123" t="s">
        <v>625</v>
      </c>
      <c r="D32" s="124"/>
      <c r="E32" s="131" t="s">
        <v>626</v>
      </c>
      <c r="F32" s="125"/>
      <c r="G32" s="126" t="s">
        <v>610</v>
      </c>
      <c r="H32" s="127">
        <v>1</v>
      </c>
      <c r="I32" s="124"/>
    </row>
    <row r="33" spans="1:9" ht="12.75" customHeight="1">
      <c r="A33" s="121"/>
      <c r="B33" s="122"/>
      <c r="C33" s="124"/>
      <c r="D33" s="124"/>
      <c r="E33" s="124" t="s">
        <v>627</v>
      </c>
      <c r="F33" s="128">
        <v>1</v>
      </c>
      <c r="G33" s="129"/>
      <c r="H33" s="130"/>
      <c r="I33" s="124"/>
    </row>
    <row r="34" spans="1:9" ht="12.75" customHeight="1">
      <c r="A34" s="121"/>
      <c r="B34" s="122"/>
      <c r="C34" s="124"/>
      <c r="D34" s="124"/>
      <c r="E34" s="124" t="s">
        <v>628</v>
      </c>
      <c r="F34" s="124"/>
      <c r="G34" s="129"/>
      <c r="H34" s="124"/>
      <c r="I34" s="124"/>
    </row>
    <row r="35" spans="1:9" ht="12.75" customHeight="1">
      <c r="A35" s="133"/>
      <c r="B35" s="134"/>
      <c r="C35" s="134"/>
      <c r="D35" s="134"/>
      <c r="E35" s="134"/>
      <c r="F35" s="134"/>
      <c r="G35" s="135"/>
      <c r="H35" s="134"/>
      <c r="I35" s="124"/>
    </row>
    <row r="43" spans="1:9" ht="14.4">
      <c r="A43" s="48" t="s">
        <v>729</v>
      </c>
      <c r="B43" s="48"/>
      <c r="C43" s="48"/>
      <c r="D43" s="2"/>
      <c r="E43" s="52"/>
      <c r="F43" s="53"/>
      <c r="G43" s="53"/>
    </row>
    <row r="44" spans="1:9" ht="14.4">
      <c r="A44" s="2"/>
      <c r="B44" s="54"/>
      <c r="C44" s="2"/>
      <c r="D44" s="2"/>
      <c r="E44" s="52"/>
      <c r="F44" s="55"/>
      <c r="G44" s="55"/>
      <c r="H44" s="55"/>
    </row>
    <row r="45" spans="1:9" ht="14.4">
      <c r="A45" s="48" t="s">
        <v>731</v>
      </c>
      <c r="B45" s="48"/>
      <c r="C45" s="48"/>
      <c r="D45" s="2"/>
      <c r="E45" s="52"/>
      <c r="F45" s="57" t="s">
        <v>734</v>
      </c>
      <c r="G45" s="56"/>
      <c r="H45" s="56"/>
    </row>
    <row r="46" spans="1:9" ht="24.6" customHeight="1">
      <c r="A46" s="136"/>
      <c r="B46" s="136"/>
      <c r="C46" s="136"/>
      <c r="D46" s="2"/>
      <c r="E46" s="52"/>
      <c r="F46" s="58" t="s">
        <v>732</v>
      </c>
      <c r="G46" s="58"/>
      <c r="H46" s="58"/>
    </row>
  </sheetData>
  <sheetProtection algorithmName="SHA-512" hashValue="304JF0ZoVZdcmYhBR57nzDOcIsW9BNF67gf2J+Vd1IniBUsqz6pN2AvTQTUHpFkri/bXXc1nrPNvbgmoX91sAQ==" saltValue="eHG8F3sy+lQqsNMQJhhYvw==" spinCount="100000" sheet="1" objects="1" scenarios="1"/>
  <mergeCells count="11">
    <mergeCell ref="A43:C43"/>
    <mergeCell ref="F44:H44"/>
    <mergeCell ref="F45:H45"/>
    <mergeCell ref="A46:C46"/>
    <mergeCell ref="F46:H46"/>
    <mergeCell ref="A45:C45"/>
    <mergeCell ref="B5:D5"/>
    <mergeCell ref="E5:F5"/>
    <mergeCell ref="G5:G6"/>
    <mergeCell ref="H5:H6"/>
    <mergeCell ref="I5:I6"/>
  </mergeCells>
  <pageMargins left="0.74803149606299213" right="0.74803149606299213" top="0.98425196850393704" bottom="0.98425196850393704" header="0.51181102362204722" footer="0.51181102362204722"/>
  <pageSetup paperSize="9" scale="68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9"/>
  <sheetViews>
    <sheetView tabSelected="1" topLeftCell="A451" zoomScale="70" zoomScaleNormal="70" zoomScaleSheetLayoutView="100" zoomScalePageLayoutView="85" workbookViewId="0">
      <selection activeCell="F467" sqref="F467:H467"/>
    </sheetView>
  </sheetViews>
  <sheetFormatPr defaultColWidth="8.88671875" defaultRowHeight="15.6"/>
  <cols>
    <col min="1" max="1" width="18.88671875" style="234" customWidth="1"/>
    <col min="2" max="2" width="5.109375" style="70" customWidth="1"/>
    <col min="3" max="3" width="10.109375" style="71" customWidth="1"/>
    <col min="4" max="4" width="12.44140625" style="68" customWidth="1"/>
    <col min="5" max="5" width="109.44140625" style="61" customWidth="1"/>
    <col min="6" max="6" width="12.6640625" style="235" customWidth="1"/>
    <col min="7" max="7" width="7.21875" style="236" customWidth="1"/>
    <col min="8" max="8" width="11.109375" style="237" customWidth="1"/>
    <col min="9" max="9" width="3.44140625" style="226" customWidth="1"/>
    <col min="10" max="16384" width="8.88671875" style="226"/>
  </cols>
  <sheetData>
    <row r="1" spans="1:9" s="137" customFormat="1" ht="12.75" customHeight="1">
      <c r="A1" s="137" t="s">
        <v>232</v>
      </c>
      <c r="B1" s="138"/>
      <c r="D1" s="63" t="s">
        <v>588</v>
      </c>
      <c r="E1" s="63" t="s">
        <v>589</v>
      </c>
    </row>
    <row r="2" spans="1:9" s="137" customFormat="1" ht="12.75" customHeight="1">
      <c r="A2" s="137" t="s">
        <v>595</v>
      </c>
      <c r="B2" s="138"/>
      <c r="D2" s="137" t="s">
        <v>606</v>
      </c>
      <c r="E2" s="137" t="s">
        <v>6</v>
      </c>
    </row>
    <row r="3" spans="1:9" s="137" customFormat="1" ht="12.75" customHeight="1">
      <c r="A3" s="137" t="s">
        <v>596</v>
      </c>
      <c r="B3" s="138"/>
      <c r="D3" s="137" t="s">
        <v>5</v>
      </c>
    </row>
    <row r="4" spans="1:9" s="137" customFormat="1" ht="12.75" customHeight="1">
      <c r="B4" s="139"/>
    </row>
    <row r="5" spans="1:9" s="137" customFormat="1" ht="24" customHeight="1">
      <c r="A5" s="140" t="s">
        <v>597</v>
      </c>
      <c r="B5" s="141" t="s">
        <v>9</v>
      </c>
      <c r="C5" s="142"/>
      <c r="D5" s="142"/>
      <c r="E5" s="143" t="s">
        <v>598</v>
      </c>
      <c r="F5" s="144"/>
      <c r="G5" s="145" t="s">
        <v>11</v>
      </c>
      <c r="H5" s="146" t="s">
        <v>12</v>
      </c>
      <c r="I5" s="147" t="s">
        <v>5</v>
      </c>
    </row>
    <row r="6" spans="1:9" s="137" customFormat="1" ht="12.75" customHeight="1">
      <c r="A6" s="148" t="s">
        <v>599</v>
      </c>
      <c r="B6" s="149" t="s">
        <v>600</v>
      </c>
      <c r="C6" s="150" t="s">
        <v>601</v>
      </c>
      <c r="D6" s="150" t="s">
        <v>602</v>
      </c>
      <c r="E6" s="150" t="s">
        <v>603</v>
      </c>
      <c r="F6" s="150" t="s">
        <v>604</v>
      </c>
      <c r="G6" s="151"/>
      <c r="H6" s="151"/>
      <c r="I6" s="152"/>
    </row>
    <row r="7" spans="1:9" s="137" customFormat="1" ht="12.75" customHeight="1">
      <c r="A7" s="153"/>
      <c r="B7" s="154"/>
      <c r="C7" s="155"/>
      <c r="D7" s="88"/>
      <c r="E7" s="156"/>
      <c r="F7" s="157"/>
      <c r="G7" s="158"/>
      <c r="H7" s="159"/>
    </row>
    <row r="8" spans="1:9" s="137" customFormat="1" ht="12.75" customHeight="1">
      <c r="A8" s="98" t="s">
        <v>28</v>
      </c>
      <c r="B8" s="103"/>
      <c r="C8" s="104"/>
      <c r="D8" s="97"/>
      <c r="E8" s="98" t="s">
        <v>237</v>
      </c>
      <c r="F8" s="160"/>
      <c r="G8" s="161"/>
      <c r="H8" s="159"/>
    </row>
    <row r="9" spans="1:9" s="53" customFormat="1" ht="12.75" customHeight="1">
      <c r="A9" s="121"/>
      <c r="B9" s="122">
        <v>1</v>
      </c>
      <c r="C9" s="123" t="s">
        <v>636</v>
      </c>
      <c r="D9" s="124"/>
      <c r="E9" s="123" t="s">
        <v>637</v>
      </c>
      <c r="F9" s="124"/>
      <c r="G9" s="123" t="s">
        <v>638</v>
      </c>
      <c r="H9" s="162">
        <v>1</v>
      </c>
      <c r="I9" s="133"/>
    </row>
    <row r="10" spans="1:9" s="53" customFormat="1" ht="12.75" customHeight="1">
      <c r="A10" s="121"/>
      <c r="B10" s="129"/>
      <c r="C10" s="124"/>
      <c r="D10" s="124"/>
      <c r="E10" s="124" t="s">
        <v>639</v>
      </c>
      <c r="F10" s="163">
        <v>1</v>
      </c>
      <c r="G10" s="124"/>
      <c r="H10" s="124"/>
      <c r="I10" s="124"/>
    </row>
    <row r="11" spans="1:9" s="137" customFormat="1" ht="12.75" customHeight="1">
      <c r="A11" s="98"/>
      <c r="B11" s="103" t="s">
        <v>608</v>
      </c>
      <c r="C11" s="164" t="s">
        <v>29</v>
      </c>
      <c r="D11" s="165"/>
      <c r="E11" s="166" t="s">
        <v>30</v>
      </c>
      <c r="F11" s="167"/>
      <c r="G11" s="168" t="s">
        <v>722</v>
      </c>
      <c r="H11" s="159">
        <f>H12</f>
        <v>137.04</v>
      </c>
    </row>
    <row r="12" spans="1:9" s="137" customFormat="1" ht="12.75" customHeight="1">
      <c r="A12" s="98"/>
      <c r="B12" s="103"/>
      <c r="C12" s="104"/>
      <c r="D12" s="97" t="s">
        <v>29</v>
      </c>
      <c r="E12" s="110" t="s">
        <v>30</v>
      </c>
      <c r="F12" s="167"/>
      <c r="G12" s="169" t="s">
        <v>722</v>
      </c>
      <c r="H12" s="170">
        <f>ROUND(F16,2)</f>
        <v>137.04</v>
      </c>
    </row>
    <row r="13" spans="1:9" s="137" customFormat="1" ht="12.75" customHeight="1">
      <c r="A13" s="98"/>
      <c r="B13" s="103"/>
      <c r="C13" s="104"/>
      <c r="D13" s="97"/>
      <c r="E13" s="110" t="s">
        <v>238</v>
      </c>
      <c r="F13" s="160">
        <f>(673.33*(0.08+0.03))*1.2</f>
        <v>88.88</v>
      </c>
      <c r="G13" s="169"/>
      <c r="H13" s="170"/>
    </row>
    <row r="14" spans="1:9" s="137" customFormat="1" ht="25.8" customHeight="1">
      <c r="A14" s="98"/>
      <c r="B14" s="103"/>
      <c r="C14" s="104"/>
      <c r="D14" s="97"/>
      <c r="E14" s="110" t="s">
        <v>239</v>
      </c>
      <c r="F14" s="160">
        <f xml:space="preserve"> 0.1*1.6*(12.3+11.9)*1.1</f>
        <v>4.26</v>
      </c>
      <c r="G14" s="169"/>
      <c r="H14" s="170"/>
    </row>
    <row r="15" spans="1:9" s="137" customFormat="1" ht="12.75" customHeight="1">
      <c r="A15" s="98"/>
      <c r="B15" s="103"/>
      <c r="C15" s="104"/>
      <c r="D15" s="97"/>
      <c r="E15" s="110" t="s">
        <v>240</v>
      </c>
      <c r="F15" s="171">
        <f>0.8*0.1*(50-1)*11.2</f>
        <v>43.9</v>
      </c>
      <c r="G15" s="169"/>
      <c r="H15" s="170"/>
    </row>
    <row r="16" spans="1:9" s="137" customFormat="1" ht="12.75" customHeight="1">
      <c r="A16" s="98"/>
      <c r="B16" s="103"/>
      <c r="C16" s="104"/>
      <c r="D16" s="97"/>
      <c r="E16" s="110"/>
      <c r="F16" s="160">
        <f>SUM(F13:F15)</f>
        <v>137.04</v>
      </c>
      <c r="G16" s="169"/>
      <c r="H16" s="170"/>
    </row>
    <row r="17" spans="1:8" s="137" customFormat="1" ht="12.75" customHeight="1">
      <c r="A17" s="98"/>
      <c r="B17" s="103" t="s">
        <v>609</v>
      </c>
      <c r="C17" s="164" t="s">
        <v>31</v>
      </c>
      <c r="D17" s="165"/>
      <c r="E17" s="166" t="s">
        <v>32</v>
      </c>
      <c r="F17" s="172"/>
      <c r="G17" s="168" t="s">
        <v>722</v>
      </c>
      <c r="H17" s="159">
        <f>H18</f>
        <v>33.69</v>
      </c>
    </row>
    <row r="18" spans="1:8" s="137" customFormat="1" ht="12.75" customHeight="1">
      <c r="A18" s="98"/>
      <c r="B18" s="103"/>
      <c r="C18" s="104"/>
      <c r="D18" s="97" t="s">
        <v>31</v>
      </c>
      <c r="E18" s="110" t="s">
        <v>32</v>
      </c>
      <c r="F18" s="160"/>
      <c r="G18" s="169" t="s">
        <v>722</v>
      </c>
      <c r="H18" s="170">
        <f>ROUND(F21,2)</f>
        <v>33.69</v>
      </c>
    </row>
    <row r="19" spans="1:8" s="137" customFormat="1" ht="12.75" customHeight="1">
      <c r="A19" s="98"/>
      <c r="B19" s="103"/>
      <c r="C19" s="104"/>
      <c r="D19" s="97"/>
      <c r="E19" s="110" t="s">
        <v>241</v>
      </c>
      <c r="F19" s="160">
        <f>0.271*(4.8+37.5+2.9+3.3+31.9+5.5)*1.1</f>
        <v>25.61</v>
      </c>
      <c r="G19" s="169"/>
      <c r="H19" s="170"/>
    </row>
    <row r="20" spans="1:8" s="137" customFormat="1" ht="12.75" customHeight="1">
      <c r="A20" s="98"/>
      <c r="B20" s="103"/>
      <c r="C20" s="104"/>
      <c r="D20" s="97"/>
      <c r="E20" s="110" t="s">
        <v>242</v>
      </c>
      <c r="F20" s="160">
        <f>(0.75*0.37+0.13*0.2)*(12.3+11.9)*1.1</f>
        <v>8.08</v>
      </c>
      <c r="G20" s="169"/>
      <c r="H20" s="170"/>
    </row>
    <row r="21" spans="1:8" s="137" customFormat="1" ht="12.75" customHeight="1">
      <c r="A21" s="98"/>
      <c r="B21" s="103"/>
      <c r="C21" s="104"/>
      <c r="D21" s="97"/>
      <c r="E21" s="173" t="s">
        <v>243</v>
      </c>
      <c r="F21" s="160">
        <f>SUM(F19:F20)</f>
        <v>33.69</v>
      </c>
      <c r="G21" s="169"/>
      <c r="H21" s="170"/>
    </row>
    <row r="22" spans="1:8" s="137" customFormat="1" ht="12.75" customHeight="1">
      <c r="A22" s="98"/>
      <c r="B22" s="103" t="s">
        <v>612</v>
      </c>
      <c r="C22" s="164" t="s">
        <v>33</v>
      </c>
      <c r="D22" s="165"/>
      <c r="E22" s="166" t="s">
        <v>34</v>
      </c>
      <c r="F22" s="174"/>
      <c r="G22" s="168" t="s">
        <v>723</v>
      </c>
      <c r="H22" s="159">
        <f>H23</f>
        <v>1346</v>
      </c>
    </row>
    <row r="23" spans="1:8" s="137" customFormat="1" ht="12.75" customHeight="1">
      <c r="A23" s="98"/>
      <c r="B23" s="103"/>
      <c r="C23" s="104"/>
      <c r="D23" s="97" t="s">
        <v>33</v>
      </c>
      <c r="E23" s="110" t="s">
        <v>34</v>
      </c>
      <c r="F23" s="160"/>
      <c r="G23" s="169" t="s">
        <v>723</v>
      </c>
      <c r="H23" s="170">
        <f>ROUND(F26,2)</f>
        <v>1346</v>
      </c>
    </row>
    <row r="24" spans="1:8" s="137" customFormat="1" ht="12.75" customHeight="1">
      <c r="A24" s="98"/>
      <c r="B24" s="103"/>
      <c r="C24" s="104"/>
      <c r="D24" s="97"/>
      <c r="E24" s="110" t="s">
        <v>244</v>
      </c>
      <c r="F24" s="160">
        <v>673</v>
      </c>
      <c r="G24" s="175"/>
      <c r="H24" s="176"/>
    </row>
    <row r="25" spans="1:8" s="137" customFormat="1" ht="12.75" customHeight="1">
      <c r="A25" s="98"/>
      <c r="B25" s="103"/>
      <c r="C25" s="104"/>
      <c r="D25" s="97"/>
      <c r="E25" s="110" t="s">
        <v>245</v>
      </c>
      <c r="F25" s="171">
        <v>673</v>
      </c>
      <c r="G25" s="175"/>
      <c r="H25" s="176"/>
    </row>
    <row r="26" spans="1:8" s="137" customFormat="1" ht="12.75" customHeight="1">
      <c r="A26" s="98"/>
      <c r="B26" s="103"/>
      <c r="C26" s="104"/>
      <c r="D26" s="97"/>
      <c r="E26" s="173" t="s">
        <v>243</v>
      </c>
      <c r="F26" s="160">
        <f>SUM(F24:F25)</f>
        <v>1346</v>
      </c>
      <c r="G26" s="175"/>
      <c r="H26" s="176"/>
    </row>
    <row r="27" spans="1:8" s="137" customFormat="1" ht="12.75" customHeight="1">
      <c r="A27" s="98"/>
      <c r="B27" s="103" t="s">
        <v>617</v>
      </c>
      <c r="C27" s="164" t="s">
        <v>35</v>
      </c>
      <c r="D27" s="165"/>
      <c r="E27" s="166" t="s">
        <v>36</v>
      </c>
      <c r="F27" s="167"/>
      <c r="G27" s="168" t="s">
        <v>724</v>
      </c>
      <c r="H27" s="159">
        <f>H28</f>
        <v>85</v>
      </c>
    </row>
    <row r="28" spans="1:8" s="137" customFormat="1" ht="12.75" customHeight="1">
      <c r="A28" s="98"/>
      <c r="B28" s="103"/>
      <c r="C28" s="104"/>
      <c r="D28" s="177" t="s">
        <v>246</v>
      </c>
      <c r="E28" s="178" t="s">
        <v>247</v>
      </c>
      <c r="F28" s="179"/>
      <c r="G28" s="180" t="s">
        <v>724</v>
      </c>
      <c r="H28" s="170">
        <f>F29</f>
        <v>85</v>
      </c>
    </row>
    <row r="29" spans="1:8" s="137" customFormat="1" ht="12.75" customHeight="1">
      <c r="A29" s="98"/>
      <c r="B29" s="103"/>
      <c r="C29" s="104"/>
      <c r="D29" s="97"/>
      <c r="E29" s="110" t="s">
        <v>248</v>
      </c>
      <c r="F29" s="160">
        <f>F139</f>
        <v>85</v>
      </c>
      <c r="G29" s="169"/>
      <c r="H29" s="170"/>
    </row>
    <row r="30" spans="1:8" s="137" customFormat="1" ht="12.75" customHeight="1">
      <c r="A30" s="98"/>
      <c r="B30" s="103" t="s">
        <v>621</v>
      </c>
      <c r="C30" s="164" t="s">
        <v>37</v>
      </c>
      <c r="D30" s="165"/>
      <c r="E30" s="166" t="s">
        <v>38</v>
      </c>
      <c r="F30" s="174"/>
      <c r="G30" s="168" t="s">
        <v>726</v>
      </c>
      <c r="H30" s="159">
        <f>H31</f>
        <v>200</v>
      </c>
    </row>
    <row r="31" spans="1:8" s="137" customFormat="1" ht="12.75" customHeight="1">
      <c r="A31" s="98"/>
      <c r="B31" s="103"/>
      <c r="C31" s="181"/>
      <c r="D31" s="177" t="s">
        <v>37</v>
      </c>
      <c r="E31" s="178" t="s">
        <v>38</v>
      </c>
      <c r="F31" s="182"/>
      <c r="G31" s="180" t="s">
        <v>726</v>
      </c>
      <c r="H31" s="170">
        <v>200</v>
      </c>
    </row>
    <row r="32" spans="1:8" s="137" customFormat="1" ht="12.75" customHeight="1">
      <c r="A32" s="98"/>
      <c r="B32" s="103"/>
      <c r="C32" s="104"/>
      <c r="D32" s="97"/>
      <c r="E32" s="110" t="s">
        <v>249</v>
      </c>
      <c r="F32" s="174"/>
      <c r="G32" s="169"/>
      <c r="H32" s="170"/>
    </row>
    <row r="33" spans="1:9" s="137" customFormat="1" ht="12.75" customHeight="1">
      <c r="A33" s="98"/>
      <c r="B33" s="103" t="s">
        <v>624</v>
      </c>
      <c r="C33" s="164" t="s">
        <v>39</v>
      </c>
      <c r="D33" s="165"/>
      <c r="E33" s="166" t="s">
        <v>40</v>
      </c>
      <c r="F33" s="174"/>
      <c r="G33" s="168" t="s">
        <v>723</v>
      </c>
      <c r="H33" s="159">
        <f>H34</f>
        <v>673.33</v>
      </c>
    </row>
    <row r="34" spans="1:9" s="137" customFormat="1" ht="12.75" customHeight="1">
      <c r="A34" s="98"/>
      <c r="B34" s="103"/>
      <c r="C34" s="164"/>
      <c r="D34" s="177" t="s">
        <v>250</v>
      </c>
      <c r="E34" s="178" t="s">
        <v>251</v>
      </c>
      <c r="F34" s="182"/>
      <c r="G34" s="180" t="s">
        <v>723</v>
      </c>
      <c r="H34" s="170">
        <f>ROUND(F35,2)</f>
        <v>673.33</v>
      </c>
    </row>
    <row r="35" spans="1:9" s="137" customFormat="1" ht="12.75" customHeight="1">
      <c r="A35" s="98"/>
      <c r="B35" s="103"/>
      <c r="C35" s="104"/>
      <c r="D35" s="97"/>
      <c r="E35" s="110" t="s">
        <v>252</v>
      </c>
      <c r="F35" s="160">
        <v>673.33</v>
      </c>
      <c r="G35" s="169"/>
      <c r="H35" s="170"/>
    </row>
    <row r="36" spans="1:9" s="137" customFormat="1" ht="12.75" customHeight="1">
      <c r="A36" s="98"/>
      <c r="B36" s="103" t="s">
        <v>642</v>
      </c>
      <c r="C36" s="164" t="s">
        <v>41</v>
      </c>
      <c r="D36" s="165"/>
      <c r="E36" s="166" t="s">
        <v>42</v>
      </c>
      <c r="F36" s="174"/>
      <c r="G36" s="168" t="s">
        <v>723</v>
      </c>
      <c r="H36" s="159">
        <f>H37</f>
        <v>294</v>
      </c>
    </row>
    <row r="37" spans="1:9" s="137" customFormat="1" ht="12.75" customHeight="1">
      <c r="A37" s="98"/>
      <c r="B37" s="103"/>
      <c r="C37" s="164"/>
      <c r="D37" s="177" t="s">
        <v>253</v>
      </c>
      <c r="E37" s="178" t="s">
        <v>254</v>
      </c>
      <c r="F37" s="174"/>
      <c r="G37" s="180" t="s">
        <v>723</v>
      </c>
      <c r="H37" s="170">
        <f>ROUND(F38,2)</f>
        <v>294</v>
      </c>
    </row>
    <row r="38" spans="1:9" s="137" customFormat="1" ht="12.75" customHeight="1">
      <c r="A38" s="98"/>
      <c r="B38" s="103"/>
      <c r="C38" s="104"/>
      <c r="D38" s="97"/>
      <c r="E38" s="110" t="s">
        <v>255</v>
      </c>
      <c r="F38" s="160">
        <f>7*(20+20)*1.05</f>
        <v>294</v>
      </c>
      <c r="G38" s="169"/>
      <c r="H38" s="170"/>
    </row>
    <row r="39" spans="1:9" s="137" customFormat="1" ht="12.75" customHeight="1">
      <c r="A39" s="98"/>
      <c r="B39" s="103" t="s">
        <v>643</v>
      </c>
      <c r="C39" s="164" t="s">
        <v>43</v>
      </c>
      <c r="D39" s="165"/>
      <c r="E39" s="166" t="s">
        <v>44</v>
      </c>
      <c r="F39" s="174"/>
      <c r="G39" s="168" t="s">
        <v>724</v>
      </c>
      <c r="H39" s="159">
        <f>H40</f>
        <v>245.32</v>
      </c>
    </row>
    <row r="40" spans="1:9" s="137" customFormat="1" ht="12.75" customHeight="1">
      <c r="A40" s="98"/>
      <c r="B40" s="103"/>
      <c r="C40" s="164"/>
      <c r="D40" s="177" t="s">
        <v>43</v>
      </c>
      <c r="E40" s="178" t="s">
        <v>44</v>
      </c>
      <c r="F40" s="182"/>
      <c r="G40" s="180" t="s">
        <v>724</v>
      </c>
      <c r="H40" s="170">
        <f>ROUND(F45,2)</f>
        <v>245.32</v>
      </c>
    </row>
    <row r="41" spans="1:9" s="137" customFormat="1" ht="12.75" customHeight="1">
      <c r="A41" s="98"/>
      <c r="B41" s="103"/>
      <c r="C41" s="104"/>
      <c r="D41" s="97"/>
      <c r="E41" s="110" t="s">
        <v>256</v>
      </c>
      <c r="F41" s="160">
        <f>37.84+20+12+31.83+12+27</f>
        <v>140.66999999999999</v>
      </c>
      <c r="G41" s="169"/>
      <c r="H41" s="170"/>
    </row>
    <row r="42" spans="1:9" s="137" customFormat="1" ht="12.75" customHeight="1">
      <c r="A42" s="98"/>
      <c r="B42" s="103"/>
      <c r="C42" s="104"/>
      <c r="D42" s="97"/>
      <c r="E42" s="110" t="s">
        <v>257</v>
      </c>
      <c r="F42" s="160">
        <f xml:space="preserve"> ((8+27)+(20+8))*1.05</f>
        <v>66.150000000000006</v>
      </c>
      <c r="G42" s="169"/>
      <c r="H42" s="170"/>
    </row>
    <row r="43" spans="1:9" s="137" customFormat="1" ht="12.75" customHeight="1">
      <c r="A43" s="98"/>
      <c r="B43" s="103"/>
      <c r="C43" s="104"/>
      <c r="D43" s="97"/>
      <c r="E43" s="110" t="s">
        <v>258</v>
      </c>
      <c r="F43" s="160">
        <f>12.3+11.9</f>
        <v>24.2</v>
      </c>
      <c r="G43" s="169"/>
      <c r="H43" s="170"/>
    </row>
    <row r="44" spans="1:9" s="137" customFormat="1" ht="12.75" customHeight="1">
      <c r="A44" s="98"/>
      <c r="B44" s="103"/>
      <c r="C44" s="104"/>
      <c r="D44" s="97"/>
      <c r="E44" s="110" t="s">
        <v>259</v>
      </c>
      <c r="F44" s="171">
        <v>14.3</v>
      </c>
      <c r="G44" s="169"/>
      <c r="H44" s="170"/>
    </row>
    <row r="45" spans="1:9" s="137" customFormat="1" ht="12.75" customHeight="1">
      <c r="A45" s="98"/>
      <c r="B45" s="103"/>
      <c r="C45" s="104"/>
      <c r="D45" s="97"/>
      <c r="E45" s="173" t="s">
        <v>243</v>
      </c>
      <c r="F45" s="160">
        <f>SUM(F41:F44)</f>
        <v>245.32</v>
      </c>
      <c r="G45" s="169"/>
      <c r="H45" s="170"/>
    </row>
    <row r="46" spans="1:9" s="137" customFormat="1" ht="12.75" customHeight="1">
      <c r="A46" s="98"/>
      <c r="B46" s="103" t="s">
        <v>644</v>
      </c>
      <c r="C46" s="164" t="s">
        <v>45</v>
      </c>
      <c r="D46" s="165"/>
      <c r="E46" s="166" t="s">
        <v>46</v>
      </c>
      <c r="F46" s="174"/>
      <c r="G46" s="168" t="s">
        <v>725</v>
      </c>
      <c r="H46" s="159">
        <f>H47</f>
        <v>4</v>
      </c>
      <c r="I46" s="183"/>
    </row>
    <row r="47" spans="1:9" s="137" customFormat="1" ht="12.75" customHeight="1">
      <c r="A47" s="98"/>
      <c r="B47" s="103"/>
      <c r="C47" s="164"/>
      <c r="D47" s="177" t="s">
        <v>45</v>
      </c>
      <c r="E47" s="178" t="s">
        <v>46</v>
      </c>
      <c r="F47" s="182"/>
      <c r="G47" s="180" t="s">
        <v>725</v>
      </c>
      <c r="H47" s="170">
        <f>F51</f>
        <v>4</v>
      </c>
    </row>
    <row r="48" spans="1:9" s="137" customFormat="1" ht="12.75" customHeight="1">
      <c r="A48" s="98"/>
      <c r="B48" s="103"/>
      <c r="C48" s="104"/>
      <c r="D48" s="97"/>
      <c r="E48" s="110" t="s">
        <v>260</v>
      </c>
      <c r="F48" s="160">
        <v>2</v>
      </c>
      <c r="G48" s="169"/>
      <c r="H48" s="170"/>
    </row>
    <row r="49" spans="1:8" s="137" customFormat="1" ht="12.75" customHeight="1">
      <c r="A49" s="98"/>
      <c r="B49" s="103"/>
      <c r="C49" s="104"/>
      <c r="D49" s="97"/>
      <c r="E49" s="110" t="s">
        <v>261</v>
      </c>
      <c r="F49" s="160">
        <v>1</v>
      </c>
      <c r="G49" s="169"/>
      <c r="H49" s="170"/>
    </row>
    <row r="50" spans="1:8" s="137" customFormat="1" ht="12.75" customHeight="1">
      <c r="A50" s="98"/>
      <c r="B50" s="103"/>
      <c r="C50" s="104"/>
      <c r="D50" s="97"/>
      <c r="E50" s="110" t="s">
        <v>262</v>
      </c>
      <c r="F50" s="171">
        <v>1</v>
      </c>
      <c r="G50" s="169"/>
      <c r="H50" s="170"/>
    </row>
    <row r="51" spans="1:8" s="137" customFormat="1" ht="12.75" customHeight="1">
      <c r="A51" s="98"/>
      <c r="B51" s="103"/>
      <c r="C51" s="104"/>
      <c r="D51" s="97"/>
      <c r="E51" s="173" t="s">
        <v>243</v>
      </c>
      <c r="F51" s="160">
        <f>SUM(F48:F50)</f>
        <v>4</v>
      </c>
      <c r="G51" s="169"/>
      <c r="H51" s="170"/>
    </row>
    <row r="52" spans="1:8" s="137" customFormat="1" ht="12.75" customHeight="1">
      <c r="A52" s="98"/>
      <c r="B52" s="103" t="s">
        <v>645</v>
      </c>
      <c r="C52" s="164" t="s">
        <v>47</v>
      </c>
      <c r="D52" s="165"/>
      <c r="E52" s="166" t="s">
        <v>48</v>
      </c>
      <c r="F52" s="174"/>
      <c r="G52" s="168" t="s">
        <v>722</v>
      </c>
      <c r="H52" s="159">
        <f>H53</f>
        <v>4.3</v>
      </c>
    </row>
    <row r="53" spans="1:8" s="137" customFormat="1" ht="12.75" customHeight="1">
      <c r="A53" s="98"/>
      <c r="B53" s="103"/>
      <c r="C53" s="164"/>
      <c r="D53" s="177" t="s">
        <v>47</v>
      </c>
      <c r="E53" s="178" t="s">
        <v>48</v>
      </c>
      <c r="F53" s="182"/>
      <c r="G53" s="180" t="s">
        <v>722</v>
      </c>
      <c r="H53" s="170">
        <f>ROUND(F54,2)</f>
        <v>4.3</v>
      </c>
    </row>
    <row r="54" spans="1:8" s="137" customFormat="1" ht="12.75" customHeight="1">
      <c r="A54" s="98"/>
      <c r="B54" s="103"/>
      <c r="C54" s="104"/>
      <c r="D54" s="97"/>
      <c r="E54" s="110" t="s">
        <v>263</v>
      </c>
      <c r="F54" s="160">
        <f>0.1*43*1</f>
        <v>4.3</v>
      </c>
      <c r="G54" s="169"/>
      <c r="H54" s="170"/>
    </row>
    <row r="55" spans="1:8" s="137" customFormat="1" ht="12.75" customHeight="1">
      <c r="A55" s="98"/>
      <c r="B55" s="103" t="s">
        <v>646</v>
      </c>
      <c r="C55" s="164" t="s">
        <v>49</v>
      </c>
      <c r="D55" s="165"/>
      <c r="E55" s="166" t="s">
        <v>50</v>
      </c>
      <c r="F55" s="174"/>
      <c r="G55" s="168" t="s">
        <v>721</v>
      </c>
      <c r="H55" s="159">
        <f>H56</f>
        <v>3112.23</v>
      </c>
    </row>
    <row r="56" spans="1:8" s="137" customFormat="1" ht="12.75" customHeight="1">
      <c r="A56" s="98"/>
      <c r="B56" s="103"/>
      <c r="C56" s="164"/>
      <c r="D56" s="177" t="s">
        <v>264</v>
      </c>
      <c r="E56" s="178" t="s">
        <v>265</v>
      </c>
      <c r="F56" s="182"/>
      <c r="G56" s="180" t="s">
        <v>721</v>
      </c>
      <c r="H56" s="170">
        <f>ROUND(F58,2)</f>
        <v>3112.23</v>
      </c>
    </row>
    <row r="57" spans="1:8" s="137" customFormat="1" ht="12.75" customHeight="1">
      <c r="A57" s="98"/>
      <c r="B57" s="103"/>
      <c r="C57" s="104"/>
      <c r="D57" s="97"/>
      <c r="E57" s="110" t="s">
        <v>266</v>
      </c>
      <c r="F57" s="160"/>
      <c r="G57" s="169"/>
      <c r="H57" s="170"/>
    </row>
    <row r="58" spans="1:8" s="137" customFormat="1" ht="27.6" customHeight="1">
      <c r="A58" s="98"/>
      <c r="B58" s="103"/>
      <c r="C58" s="104"/>
      <c r="D58" s="97"/>
      <c r="E58" s="110" t="s">
        <v>267</v>
      </c>
      <c r="F58" s="160">
        <f>33.68*2.5+141.77*2.3+673.33*0.005*1.9+673.33*0.04*1.1+0.2+294*0.18*1.9*245.12*0.1+1192.63*0.003*2.5+1263.47*0.04*2.3+550.15*0.06*2.3</f>
        <v>3112.23</v>
      </c>
      <c r="G58" s="169"/>
      <c r="H58" s="170"/>
    </row>
    <row r="59" spans="1:8" s="137" customFormat="1" ht="12.75" customHeight="1">
      <c r="A59" s="98"/>
      <c r="B59" s="103" t="s">
        <v>647</v>
      </c>
      <c r="C59" s="164" t="s">
        <v>51</v>
      </c>
      <c r="D59" s="165"/>
      <c r="E59" s="166" t="s">
        <v>52</v>
      </c>
      <c r="F59" s="174"/>
      <c r="G59" s="168" t="s">
        <v>723</v>
      </c>
      <c r="H59" s="159">
        <f>H60</f>
        <v>1192.6300000000001</v>
      </c>
    </row>
    <row r="60" spans="1:8" s="137" customFormat="1" ht="12.75" customHeight="1">
      <c r="A60" s="98"/>
      <c r="B60" s="103"/>
      <c r="C60" s="104"/>
      <c r="D60" s="177" t="s">
        <v>268</v>
      </c>
      <c r="E60" s="178" t="s">
        <v>269</v>
      </c>
      <c r="F60" s="182"/>
      <c r="G60" s="175" t="s">
        <v>723</v>
      </c>
      <c r="H60" s="170">
        <f>ROUND(F67,2)</f>
        <v>1192.6300000000001</v>
      </c>
    </row>
    <row r="61" spans="1:8" s="137" customFormat="1" ht="12.75" customHeight="1">
      <c r="A61" s="98"/>
      <c r="B61" s="103"/>
      <c r="C61" s="104"/>
      <c r="D61" s="97"/>
      <c r="E61" s="110" t="s">
        <v>270</v>
      </c>
      <c r="F61" s="160">
        <v>673.33</v>
      </c>
      <c r="G61" s="169"/>
      <c r="H61" s="170"/>
    </row>
    <row r="62" spans="1:8" s="137" customFormat="1" ht="30" customHeight="1">
      <c r="A62" s="98"/>
      <c r="B62" s="103"/>
      <c r="C62" s="104"/>
      <c r="D62" s="97"/>
      <c r="E62" s="110" t="s">
        <v>271</v>
      </c>
      <c r="F62" s="160">
        <f>((8.42+5.64+1*5.9)+((15.26+10.7+7.5*1)+(3.8+1.43+3.8*1)))</f>
        <v>62.45</v>
      </c>
      <c r="G62" s="169"/>
      <c r="H62" s="170"/>
    </row>
    <row r="63" spans="1:8" s="137" customFormat="1" ht="32.4" customHeight="1">
      <c r="A63" s="98"/>
      <c r="B63" s="103"/>
      <c r="C63" s="104"/>
      <c r="D63" s="97"/>
      <c r="E63" s="110" t="s">
        <v>272</v>
      </c>
      <c r="F63" s="160">
        <f>((106.03+53.07+18.89+0.17*21.71) + (102.79+38.67+20.41+0.17*15.51))</f>
        <v>346.19</v>
      </c>
      <c r="G63" s="169"/>
      <c r="H63" s="170"/>
    </row>
    <row r="64" spans="1:8" s="137" customFormat="1" ht="31.2" customHeight="1">
      <c r="A64" s="98"/>
      <c r="B64" s="103"/>
      <c r="C64" s="104"/>
      <c r="D64" s="97"/>
      <c r="E64" s="110" t="s">
        <v>273</v>
      </c>
      <c r="F64" s="160">
        <f>((4.51+3.3+1.4*1.3+1.5*1)+(2.03+5.72*1.55+8.8*1.1+0.87+0.25*0.95))*0.8*1.05</f>
        <v>27.56</v>
      </c>
      <c r="G64" s="169"/>
      <c r="H64" s="170"/>
    </row>
    <row r="65" spans="1:8" s="137" customFormat="1" ht="12.75" customHeight="1">
      <c r="A65" s="98"/>
      <c r="B65" s="103"/>
      <c r="C65" s="104"/>
      <c r="D65" s="97"/>
      <c r="E65" s="110" t="s">
        <v>274</v>
      </c>
      <c r="F65" s="160">
        <f>2*0.64*13.2*0.8</f>
        <v>13.52</v>
      </c>
      <c r="G65" s="169"/>
      <c r="H65" s="170"/>
    </row>
    <row r="66" spans="1:8" s="137" customFormat="1" ht="12.75" customHeight="1">
      <c r="A66" s="98"/>
      <c r="B66" s="103"/>
      <c r="C66" s="104"/>
      <c r="D66" s="97"/>
      <c r="E66" s="110" t="s">
        <v>275</v>
      </c>
      <c r="F66" s="184">
        <f>2*0.62*51.01*1.1</f>
        <v>69.58</v>
      </c>
      <c r="G66" s="169"/>
      <c r="H66" s="170"/>
    </row>
    <row r="67" spans="1:8" s="137" customFormat="1" ht="12.75" customHeight="1">
      <c r="A67" s="98"/>
      <c r="B67" s="103"/>
      <c r="C67" s="104"/>
      <c r="D67" s="177"/>
      <c r="E67" s="173" t="s">
        <v>243</v>
      </c>
      <c r="F67" s="160">
        <f>SUM(F61:F66)</f>
        <v>1192.6300000000001</v>
      </c>
      <c r="G67" s="175"/>
      <c r="H67" s="170"/>
    </row>
    <row r="68" spans="1:8" s="137" customFormat="1" ht="12.75" customHeight="1">
      <c r="A68" s="98"/>
      <c r="B68" s="103" t="s">
        <v>648</v>
      </c>
      <c r="C68" s="164" t="s">
        <v>53</v>
      </c>
      <c r="D68" s="185"/>
      <c r="E68" s="166" t="s">
        <v>54</v>
      </c>
      <c r="F68" s="182"/>
      <c r="G68" s="168" t="s">
        <v>723</v>
      </c>
      <c r="H68" s="159">
        <f>H69</f>
        <v>674</v>
      </c>
    </row>
    <row r="69" spans="1:8" s="137" customFormat="1" ht="12.75" customHeight="1">
      <c r="A69" s="98"/>
      <c r="B69" s="103"/>
      <c r="C69" s="186"/>
      <c r="D69" s="177" t="s">
        <v>276</v>
      </c>
      <c r="E69" s="178" t="s">
        <v>277</v>
      </c>
      <c r="F69" s="182"/>
      <c r="G69" s="180" t="s">
        <v>723</v>
      </c>
      <c r="H69" s="170">
        <f>ROUND(F72,2)</f>
        <v>674</v>
      </c>
    </row>
    <row r="70" spans="1:8" s="137" customFormat="1" ht="12.75" customHeight="1">
      <c r="A70" s="98"/>
      <c r="B70" s="103"/>
      <c r="C70" s="104"/>
      <c r="D70" s="97"/>
      <c r="E70" s="110" t="s">
        <v>278</v>
      </c>
      <c r="F70" s="160">
        <v>331</v>
      </c>
      <c r="G70" s="169"/>
      <c r="H70" s="170"/>
    </row>
    <row r="71" spans="1:8" s="137" customFormat="1" ht="31.2" customHeight="1">
      <c r="A71" s="98"/>
      <c r="B71" s="103"/>
      <c r="C71" s="104"/>
      <c r="D71" s="97"/>
      <c r="E71" s="110" t="s">
        <v>279</v>
      </c>
      <c r="F71" s="184">
        <f>139+204</f>
        <v>343</v>
      </c>
      <c r="G71" s="169"/>
      <c r="H71" s="170"/>
    </row>
    <row r="72" spans="1:8" s="137" customFormat="1" ht="12.75" customHeight="1">
      <c r="A72" s="98"/>
      <c r="B72" s="103"/>
      <c r="C72" s="104"/>
      <c r="D72" s="97"/>
      <c r="E72" s="110"/>
      <c r="F72" s="160">
        <f>SUM(F70:F71)</f>
        <v>674</v>
      </c>
      <c r="G72" s="169"/>
      <c r="H72" s="170"/>
    </row>
    <row r="73" spans="1:8" s="137" customFormat="1" ht="12.75" customHeight="1">
      <c r="A73" s="98"/>
      <c r="B73" s="103" t="s">
        <v>649</v>
      </c>
      <c r="C73" s="164" t="s">
        <v>55</v>
      </c>
      <c r="D73" s="185"/>
      <c r="E73" s="166" t="s">
        <v>56</v>
      </c>
      <c r="F73" s="182"/>
      <c r="G73" s="168" t="s">
        <v>723</v>
      </c>
      <c r="H73" s="159">
        <f>H74+H77</f>
        <v>1263.47</v>
      </c>
    </row>
    <row r="74" spans="1:8" s="137" customFormat="1" ht="12.75" customHeight="1">
      <c r="A74" s="98"/>
      <c r="B74" s="103"/>
      <c r="C74" s="186"/>
      <c r="D74" s="177" t="s">
        <v>280</v>
      </c>
      <c r="E74" s="178" t="s">
        <v>281</v>
      </c>
      <c r="F74" s="182"/>
      <c r="G74" s="180" t="s">
        <v>723</v>
      </c>
      <c r="H74" s="170">
        <f>ROUND(F76,2)</f>
        <v>713.32</v>
      </c>
    </row>
    <row r="75" spans="1:8" s="137" customFormat="1" ht="12.75" customHeight="1">
      <c r="A75" s="98"/>
      <c r="B75" s="103"/>
      <c r="C75" s="104"/>
      <c r="D75" s="97"/>
      <c r="E75" s="110" t="s">
        <v>282</v>
      </c>
      <c r="F75" s="160"/>
      <c r="G75" s="169"/>
      <c r="H75" s="170"/>
    </row>
    <row r="76" spans="1:8" s="137" customFormat="1" ht="12.75" customHeight="1">
      <c r="A76" s="98"/>
      <c r="B76" s="103"/>
      <c r="C76" s="104"/>
      <c r="D76" s="97"/>
      <c r="E76" s="110" t="s">
        <v>283</v>
      </c>
      <c r="F76" s="160">
        <f>7*(10+20+34.85+20+12.2)*1.05</f>
        <v>713.32</v>
      </c>
      <c r="G76" s="169"/>
      <c r="H76" s="170"/>
    </row>
    <row r="77" spans="1:8" s="137" customFormat="1" ht="12.75" customHeight="1">
      <c r="A77" s="98"/>
      <c r="B77" s="103"/>
      <c r="C77" s="186"/>
      <c r="D77" s="177" t="s">
        <v>284</v>
      </c>
      <c r="E77" s="178" t="s">
        <v>285</v>
      </c>
      <c r="F77" s="182"/>
      <c r="G77" s="180" t="s">
        <v>723</v>
      </c>
      <c r="H77" s="170">
        <f>ROUND(F80,2)</f>
        <v>550.15</v>
      </c>
    </row>
    <row r="78" spans="1:8" s="137" customFormat="1" ht="12.75" customHeight="1">
      <c r="A78" s="98"/>
      <c r="B78" s="103"/>
      <c r="C78" s="104"/>
      <c r="D78" s="97"/>
      <c r="E78" s="110" t="s">
        <v>286</v>
      </c>
      <c r="F78" s="160">
        <f>7*(20+20)*1.05</f>
        <v>294</v>
      </c>
      <c r="G78" s="169"/>
      <c r="H78" s="170"/>
    </row>
    <row r="79" spans="1:8" s="137" customFormat="1" ht="12.75" customHeight="1">
      <c r="A79" s="98"/>
      <c r="B79" s="103"/>
      <c r="C79" s="104"/>
      <c r="D79" s="97"/>
      <c r="E79" s="110" t="s">
        <v>287</v>
      </c>
      <c r="F79" s="184">
        <f>7*34.85*1.05</f>
        <v>256.14999999999998</v>
      </c>
      <c r="G79" s="169"/>
      <c r="H79" s="170"/>
    </row>
    <row r="80" spans="1:8" s="137" customFormat="1" ht="12.75" customHeight="1">
      <c r="A80" s="98"/>
      <c r="B80" s="103"/>
      <c r="C80" s="104"/>
      <c r="D80" s="97"/>
      <c r="E80" s="110" t="s">
        <v>243</v>
      </c>
      <c r="F80" s="160">
        <f>SUM(F78:F79)</f>
        <v>550.15</v>
      </c>
      <c r="G80" s="169"/>
      <c r="H80" s="170"/>
    </row>
    <row r="81" spans="1:8" s="137" customFormat="1" ht="12.75" customHeight="1">
      <c r="A81" s="98"/>
      <c r="B81" s="103" t="s">
        <v>650</v>
      </c>
      <c r="C81" s="94" t="s">
        <v>57</v>
      </c>
      <c r="D81" s="185"/>
      <c r="E81" s="166" t="s">
        <v>58</v>
      </c>
      <c r="F81" s="182"/>
      <c r="G81" s="168" t="s">
        <v>724</v>
      </c>
      <c r="H81" s="159">
        <f>H82</f>
        <v>65.7</v>
      </c>
    </row>
    <row r="82" spans="1:8" s="137" customFormat="1" ht="12.75" customHeight="1">
      <c r="A82" s="98"/>
      <c r="B82" s="103"/>
      <c r="C82" s="186"/>
      <c r="D82" s="177" t="s">
        <v>288</v>
      </c>
      <c r="E82" s="178" t="s">
        <v>289</v>
      </c>
      <c r="F82" s="182"/>
      <c r="G82" s="180" t="s">
        <v>724</v>
      </c>
      <c r="H82" s="170">
        <f>ROUND(F86,2)</f>
        <v>65.7</v>
      </c>
    </row>
    <row r="83" spans="1:8" s="137" customFormat="1" ht="12.75" customHeight="1">
      <c r="A83" s="98"/>
      <c r="B83" s="103"/>
      <c r="C83" s="104"/>
      <c r="D83" s="97"/>
      <c r="E83" s="110" t="s">
        <v>290</v>
      </c>
      <c r="F83" s="160">
        <f>2*7</f>
        <v>14</v>
      </c>
      <c r="G83" s="169"/>
      <c r="H83" s="170"/>
    </row>
    <row r="84" spans="1:8" s="137" customFormat="1" ht="12.75" customHeight="1">
      <c r="A84" s="98"/>
      <c r="B84" s="103"/>
      <c r="C84" s="104"/>
      <c r="D84" s="97"/>
      <c r="E84" s="110" t="s">
        <v>291</v>
      </c>
      <c r="F84" s="160">
        <f>2*7</f>
        <v>14</v>
      </c>
      <c r="G84" s="169"/>
      <c r="H84" s="170"/>
    </row>
    <row r="85" spans="1:8" s="137" customFormat="1" ht="12.75" customHeight="1">
      <c r="A85" s="98"/>
      <c r="B85" s="103"/>
      <c r="C85" s="104"/>
      <c r="D85" s="97"/>
      <c r="E85" s="110" t="s">
        <v>292</v>
      </c>
      <c r="F85" s="184">
        <f>21.7+16</f>
        <v>37.700000000000003</v>
      </c>
      <c r="G85" s="169"/>
      <c r="H85" s="170"/>
    </row>
    <row r="86" spans="1:8" s="137" customFormat="1" ht="12.75" customHeight="1">
      <c r="A86" s="98"/>
      <c r="B86" s="103"/>
      <c r="C86" s="164"/>
      <c r="D86" s="165"/>
      <c r="E86" s="110" t="s">
        <v>243</v>
      </c>
      <c r="F86" s="160">
        <f>SUM(F83:F85)</f>
        <v>65.7</v>
      </c>
      <c r="G86" s="168"/>
      <c r="H86" s="159"/>
    </row>
    <row r="87" spans="1:8" s="137" customFormat="1" ht="12.75" customHeight="1">
      <c r="A87" s="98"/>
      <c r="B87" s="103" t="s">
        <v>651</v>
      </c>
      <c r="C87" s="164" t="s">
        <v>59</v>
      </c>
      <c r="D87" s="165"/>
      <c r="E87" s="166" t="s">
        <v>60</v>
      </c>
      <c r="F87" s="174"/>
      <c r="G87" s="168" t="s">
        <v>724</v>
      </c>
      <c r="H87" s="159">
        <f>H88</f>
        <v>13.1</v>
      </c>
    </row>
    <row r="88" spans="1:8" s="137" customFormat="1" ht="12.75" customHeight="1">
      <c r="A88" s="98"/>
      <c r="B88" s="103"/>
      <c r="C88" s="164"/>
      <c r="D88" s="177" t="s">
        <v>59</v>
      </c>
      <c r="E88" s="178" t="s">
        <v>60</v>
      </c>
      <c r="F88" s="174"/>
      <c r="G88" s="175" t="s">
        <v>724</v>
      </c>
      <c r="H88" s="170">
        <f>ROUND(F91,2)</f>
        <v>13.1</v>
      </c>
    </row>
    <row r="89" spans="1:8" s="137" customFormat="1" ht="12.75" customHeight="1">
      <c r="A89" s="98"/>
      <c r="B89" s="103"/>
      <c r="C89" s="104"/>
      <c r="D89" s="97"/>
      <c r="E89" s="110" t="s">
        <v>293</v>
      </c>
      <c r="F89" s="160">
        <f>49*2*0.1</f>
        <v>9.8000000000000007</v>
      </c>
      <c r="G89" s="169"/>
      <c r="H89" s="170"/>
    </row>
    <row r="90" spans="1:8" s="137" customFormat="1" ht="12.75" customHeight="1">
      <c r="A90" s="98"/>
      <c r="B90" s="103"/>
      <c r="C90" s="104"/>
      <c r="D90" s="97"/>
      <c r="E90" s="110" t="s">
        <v>294</v>
      </c>
      <c r="F90" s="184">
        <f>4*(0.6+0.15)*1.1</f>
        <v>3.3</v>
      </c>
      <c r="G90" s="169"/>
      <c r="H90" s="170"/>
    </row>
    <row r="91" spans="1:8" s="137" customFormat="1" ht="12.75" customHeight="1">
      <c r="A91" s="98"/>
      <c r="B91" s="103"/>
      <c r="C91" s="164"/>
      <c r="D91" s="177"/>
      <c r="E91" s="187"/>
      <c r="F91" s="160">
        <f>SUM(F89:F90)</f>
        <v>13.1</v>
      </c>
      <c r="G91" s="168"/>
      <c r="H91" s="159"/>
    </row>
    <row r="92" spans="1:8" s="137" customFormat="1" ht="12.75" customHeight="1">
      <c r="A92" s="98"/>
      <c r="B92" s="103" t="s">
        <v>652</v>
      </c>
      <c r="C92" s="164" t="s">
        <v>61</v>
      </c>
      <c r="D92" s="165"/>
      <c r="E92" s="166" t="s">
        <v>62</v>
      </c>
      <c r="F92" s="160"/>
      <c r="G92" s="168" t="s">
        <v>724</v>
      </c>
      <c r="H92" s="159">
        <f>H93</f>
        <v>7.49</v>
      </c>
    </row>
    <row r="93" spans="1:8" s="137" customFormat="1" ht="12.75" customHeight="1">
      <c r="A93" s="98"/>
      <c r="B93" s="103"/>
      <c r="C93" s="164"/>
      <c r="D93" s="177" t="s">
        <v>61</v>
      </c>
      <c r="E93" s="178" t="s">
        <v>62</v>
      </c>
      <c r="F93" s="182"/>
      <c r="G93" s="175" t="s">
        <v>724</v>
      </c>
      <c r="H93" s="170">
        <f>ROUND(F97,2)</f>
        <v>7.49</v>
      </c>
    </row>
    <row r="94" spans="1:8" s="137" customFormat="1" ht="12.75" customHeight="1">
      <c r="A94" s="98"/>
      <c r="B94" s="103"/>
      <c r="C94" s="104"/>
      <c r="D94" s="97"/>
      <c r="E94" s="110" t="s">
        <v>295</v>
      </c>
      <c r="F94" s="160"/>
      <c r="G94" s="169"/>
      <c r="H94" s="170"/>
    </row>
    <row r="95" spans="1:8" s="137" customFormat="1" ht="12.75" customHeight="1">
      <c r="A95" s="98"/>
      <c r="B95" s="103"/>
      <c r="C95" s="104"/>
      <c r="D95" s="97"/>
      <c r="E95" s="110" t="s">
        <v>296</v>
      </c>
      <c r="F95" s="160">
        <f>4*(0.6+0.15)</f>
        <v>3</v>
      </c>
      <c r="G95" s="169"/>
      <c r="H95" s="170"/>
    </row>
    <row r="96" spans="1:8" s="137" customFormat="1" ht="12.75" customHeight="1">
      <c r="A96" s="98"/>
      <c r="B96" s="103"/>
      <c r="C96" s="104"/>
      <c r="D96" s="97"/>
      <c r="E96" s="110" t="s">
        <v>297</v>
      </c>
      <c r="F96" s="184">
        <f>(1.16+1.16+1.16+0.2+0.4)*1.1</f>
        <v>4.49</v>
      </c>
      <c r="G96" s="169"/>
      <c r="H96" s="170"/>
    </row>
    <row r="97" spans="1:8" s="137" customFormat="1" ht="12.75" customHeight="1">
      <c r="A97" s="98"/>
      <c r="B97" s="103"/>
      <c r="C97" s="104"/>
      <c r="D97" s="97"/>
      <c r="E97" s="110"/>
      <c r="F97" s="160">
        <f>SUM(F95:F96)</f>
        <v>7.49</v>
      </c>
      <c r="G97" s="169"/>
      <c r="H97" s="170"/>
    </row>
    <row r="98" spans="1:8" s="137" customFormat="1" ht="12.75" customHeight="1">
      <c r="A98" s="98"/>
      <c r="B98" s="103" t="s">
        <v>653</v>
      </c>
      <c r="C98" s="164" t="s">
        <v>63</v>
      </c>
      <c r="D98" s="165"/>
      <c r="E98" s="166" t="s">
        <v>64</v>
      </c>
      <c r="F98" s="167"/>
      <c r="G98" s="168" t="s">
        <v>724</v>
      </c>
      <c r="H98" s="159">
        <f>H99</f>
        <v>318.68</v>
      </c>
    </row>
    <row r="99" spans="1:8" s="137" customFormat="1" ht="12.75" customHeight="1">
      <c r="A99" s="98"/>
      <c r="B99" s="103"/>
      <c r="C99" s="164"/>
      <c r="D99" s="177" t="s">
        <v>298</v>
      </c>
      <c r="E99" s="178" t="s">
        <v>299</v>
      </c>
      <c r="F99" s="167"/>
      <c r="G99" s="180" t="s">
        <v>724</v>
      </c>
      <c r="H99" s="170">
        <f>ROUND(F104,2)</f>
        <v>318.68</v>
      </c>
    </row>
    <row r="100" spans="1:8" s="137" customFormat="1" ht="12.75" customHeight="1">
      <c r="A100" s="98"/>
      <c r="B100" s="103"/>
      <c r="C100" s="104"/>
      <c r="D100" s="97"/>
      <c r="E100" s="110" t="s">
        <v>300</v>
      </c>
      <c r="F100" s="160">
        <f>1617*0.11*1.1</f>
        <v>195.66</v>
      </c>
      <c r="G100" s="169"/>
      <c r="H100" s="170"/>
    </row>
    <row r="101" spans="1:8" s="137" customFormat="1" ht="12.75" customHeight="1">
      <c r="A101" s="98"/>
      <c r="B101" s="103"/>
      <c r="C101" s="104"/>
      <c r="D101" s="97"/>
      <c r="E101" s="110" t="s">
        <v>301</v>
      </c>
      <c r="F101" s="160">
        <f>(119+3+3)*0.2</f>
        <v>25</v>
      </c>
      <c r="G101" s="169"/>
      <c r="H101" s="170"/>
    </row>
    <row r="102" spans="1:8" s="137" customFormat="1" ht="12.75" customHeight="1">
      <c r="A102" s="98"/>
      <c r="B102" s="103"/>
      <c r="C102" s="104"/>
      <c r="D102" s="97"/>
      <c r="E102" s="110" t="s">
        <v>302</v>
      </c>
      <c r="F102" s="160">
        <f>(218+156)*0.23</f>
        <v>86.02</v>
      </c>
      <c r="G102" s="169"/>
      <c r="H102" s="170"/>
    </row>
    <row r="103" spans="1:8" s="137" customFormat="1" ht="12.75" customHeight="1">
      <c r="A103" s="98"/>
      <c r="B103" s="103"/>
      <c r="C103" s="104"/>
      <c r="D103" s="97"/>
      <c r="E103" s="110" t="s">
        <v>303</v>
      </c>
      <c r="F103" s="184">
        <f>2*30*0.2</f>
        <v>12</v>
      </c>
      <c r="G103" s="169"/>
      <c r="H103" s="170"/>
    </row>
    <row r="104" spans="1:8" s="137" customFormat="1" ht="12.75" customHeight="1">
      <c r="A104" s="98"/>
      <c r="B104" s="103"/>
      <c r="C104" s="164"/>
      <c r="D104" s="177"/>
      <c r="E104" s="173" t="s">
        <v>243</v>
      </c>
      <c r="F104" s="160">
        <f>SUM(F100:F103)</f>
        <v>318.68</v>
      </c>
      <c r="G104" s="180"/>
      <c r="H104" s="170"/>
    </row>
    <row r="105" spans="1:8" s="137" customFormat="1" ht="12.75" customHeight="1">
      <c r="A105" s="98" t="s">
        <v>66</v>
      </c>
      <c r="B105" s="103"/>
      <c r="C105" s="164"/>
      <c r="D105" s="165"/>
      <c r="E105" s="98" t="s">
        <v>304</v>
      </c>
      <c r="F105" s="174"/>
      <c r="G105" s="168"/>
      <c r="H105" s="159"/>
    </row>
    <row r="106" spans="1:8" s="137" customFormat="1" ht="12.75" customHeight="1">
      <c r="A106" s="188"/>
      <c r="B106" s="103" t="s">
        <v>654</v>
      </c>
      <c r="C106" s="164" t="s">
        <v>67</v>
      </c>
      <c r="D106" s="177" t="s">
        <v>67</v>
      </c>
      <c r="E106" s="166" t="s">
        <v>68</v>
      </c>
      <c r="F106" s="182"/>
      <c r="G106" s="168" t="s">
        <v>723</v>
      </c>
      <c r="H106" s="159">
        <f>H107</f>
        <v>1703.29</v>
      </c>
    </row>
    <row r="107" spans="1:8" s="137" customFormat="1" ht="12.75" customHeight="1">
      <c r="A107" s="188"/>
      <c r="B107" s="103"/>
      <c r="C107" s="104"/>
      <c r="D107" s="177" t="s">
        <v>67</v>
      </c>
      <c r="E107" s="178" t="s">
        <v>68</v>
      </c>
      <c r="F107" s="160"/>
      <c r="G107" s="180" t="s">
        <v>723</v>
      </c>
      <c r="H107" s="170">
        <f>ROUND(F110,2)</f>
        <v>1703.29</v>
      </c>
    </row>
    <row r="108" spans="1:8" s="137" customFormat="1" ht="28.8" customHeight="1">
      <c r="A108" s="98"/>
      <c r="B108" s="103"/>
      <c r="C108" s="104"/>
      <c r="D108" s="97"/>
      <c r="E108" s="110" t="s">
        <v>305</v>
      </c>
      <c r="F108" s="160">
        <f>(15*(8+6)+10*(12+6)+886+7*43.74)*1.05</f>
        <v>1661.29</v>
      </c>
      <c r="G108" s="169"/>
      <c r="H108" s="170"/>
    </row>
    <row r="109" spans="1:8" s="137" customFormat="1" ht="12.75" customHeight="1">
      <c r="A109" s="98"/>
      <c r="B109" s="103"/>
      <c r="C109" s="104"/>
      <c r="D109" s="97"/>
      <c r="E109" s="110" t="s">
        <v>306</v>
      </c>
      <c r="F109" s="184">
        <f>10*1*4*1.05</f>
        <v>42</v>
      </c>
      <c r="G109" s="169"/>
      <c r="H109" s="170"/>
    </row>
    <row r="110" spans="1:8" s="137" customFormat="1" ht="12.75" customHeight="1">
      <c r="A110" s="98"/>
      <c r="B110" s="103"/>
      <c r="C110" s="104"/>
      <c r="D110" s="97"/>
      <c r="E110" s="110"/>
      <c r="F110" s="160">
        <f>SUM(F108:F109)</f>
        <v>1703.29</v>
      </c>
      <c r="G110" s="169"/>
      <c r="H110" s="170"/>
    </row>
    <row r="111" spans="1:8" s="137" customFormat="1" ht="12.75" customHeight="1">
      <c r="A111" s="188"/>
      <c r="B111" s="103" t="s">
        <v>655</v>
      </c>
      <c r="C111" s="164" t="s">
        <v>69</v>
      </c>
      <c r="D111" s="177"/>
      <c r="E111" s="166" t="s">
        <v>70</v>
      </c>
      <c r="F111" s="182"/>
      <c r="G111" s="168" t="s">
        <v>723</v>
      </c>
      <c r="H111" s="159">
        <f>(+H112)</f>
        <v>730.99</v>
      </c>
    </row>
    <row r="112" spans="1:8" s="137" customFormat="1" ht="12.75" customHeight="1">
      <c r="A112" s="188"/>
      <c r="B112" s="103"/>
      <c r="C112" s="104"/>
      <c r="D112" s="177" t="s">
        <v>307</v>
      </c>
      <c r="E112" s="178" t="s">
        <v>308</v>
      </c>
      <c r="F112" s="160"/>
      <c r="G112" s="180" t="s">
        <v>723</v>
      </c>
      <c r="H112" s="170">
        <f>ROUND(F115,2)</f>
        <v>730.99</v>
      </c>
    </row>
    <row r="113" spans="1:8" s="137" customFormat="1" ht="12.75" customHeight="1">
      <c r="A113" s="98"/>
      <c r="B113" s="103"/>
      <c r="C113" s="104"/>
      <c r="D113" s="97"/>
      <c r="E113" s="110" t="s">
        <v>309</v>
      </c>
      <c r="F113" s="160">
        <f>(15*(8+6)+10*(12+6))*1.05</f>
        <v>409.5</v>
      </c>
      <c r="G113" s="169"/>
      <c r="H113" s="170"/>
    </row>
    <row r="114" spans="1:8" s="137" customFormat="1" ht="12.75" customHeight="1">
      <c r="A114" s="98"/>
      <c r="B114" s="103"/>
      <c r="C114" s="104"/>
      <c r="D114" s="97"/>
      <c r="E114" s="110" t="s">
        <v>310</v>
      </c>
      <c r="F114" s="184">
        <f>7*43.74*1.05</f>
        <v>321.49</v>
      </c>
      <c r="G114" s="169"/>
      <c r="H114" s="170"/>
    </row>
    <row r="115" spans="1:8" s="137" customFormat="1" ht="12.75" customHeight="1">
      <c r="A115" s="188"/>
      <c r="B115" s="103"/>
      <c r="C115" s="104"/>
      <c r="D115" s="177"/>
      <c r="E115" s="178"/>
      <c r="F115" s="160">
        <f>SUM(F113:F114)</f>
        <v>730.99</v>
      </c>
      <c r="G115" s="180"/>
      <c r="H115" s="170"/>
    </row>
    <row r="116" spans="1:8" s="137" customFormat="1" ht="12.75" customHeight="1">
      <c r="A116" s="188"/>
      <c r="B116" s="103" t="s">
        <v>656</v>
      </c>
      <c r="C116" s="164" t="s">
        <v>71</v>
      </c>
      <c r="D116" s="165"/>
      <c r="E116" s="166" t="s">
        <v>72</v>
      </c>
      <c r="F116" s="160"/>
      <c r="G116" s="168" t="s">
        <v>722</v>
      </c>
      <c r="H116" s="159">
        <f>H117</f>
        <v>365.5</v>
      </c>
    </row>
    <row r="117" spans="1:8" s="137" customFormat="1" ht="12.75" customHeight="1">
      <c r="A117" s="188"/>
      <c r="B117" s="103"/>
      <c r="C117" s="164"/>
      <c r="D117" s="177" t="s">
        <v>311</v>
      </c>
      <c r="E117" s="178" t="s">
        <v>312</v>
      </c>
      <c r="F117" s="179"/>
      <c r="G117" s="180" t="s">
        <v>722</v>
      </c>
      <c r="H117" s="170">
        <f>ROUND(F118,2)</f>
        <v>365.5</v>
      </c>
    </row>
    <row r="118" spans="1:8" s="137" customFormat="1" ht="12.75" customHeight="1">
      <c r="A118" s="188"/>
      <c r="B118" s="103"/>
      <c r="C118" s="164"/>
      <c r="D118" s="177"/>
      <c r="E118" s="110" t="s">
        <v>313</v>
      </c>
      <c r="F118" s="160">
        <f>730.99*0.5</f>
        <v>365.5</v>
      </c>
      <c r="G118" s="180"/>
      <c r="H118" s="170"/>
    </row>
    <row r="119" spans="1:8" s="137" customFormat="1" ht="12.75" customHeight="1">
      <c r="A119" s="188"/>
      <c r="B119" s="103"/>
      <c r="C119" s="164"/>
      <c r="D119" s="177"/>
      <c r="E119" s="178"/>
      <c r="F119" s="160"/>
      <c r="G119" s="180"/>
      <c r="H119" s="170"/>
    </row>
    <row r="120" spans="1:8" s="137" customFormat="1" ht="12.75" customHeight="1">
      <c r="A120" s="188" t="s">
        <v>74</v>
      </c>
      <c r="B120" s="103"/>
      <c r="C120" s="104"/>
      <c r="D120" s="97"/>
      <c r="E120" s="98" t="s">
        <v>314</v>
      </c>
      <c r="F120" s="160"/>
      <c r="G120" s="161"/>
      <c r="H120" s="170"/>
    </row>
    <row r="121" spans="1:8" s="137" customFormat="1" ht="12.75" customHeight="1">
      <c r="A121" s="98"/>
      <c r="B121" s="103" t="s">
        <v>657</v>
      </c>
      <c r="C121" s="164" t="s">
        <v>75</v>
      </c>
      <c r="D121" s="165"/>
      <c r="E121" s="166" t="s">
        <v>76</v>
      </c>
      <c r="F121" s="167"/>
      <c r="G121" s="168" t="s">
        <v>722</v>
      </c>
      <c r="H121" s="159">
        <f>H122</f>
        <v>583.20000000000005</v>
      </c>
    </row>
    <row r="122" spans="1:8" s="137" customFormat="1" ht="12.75" customHeight="1">
      <c r="A122" s="188"/>
      <c r="B122" s="103"/>
      <c r="C122" s="181"/>
      <c r="D122" s="177" t="s">
        <v>315</v>
      </c>
      <c r="E122" s="178" t="s">
        <v>316</v>
      </c>
      <c r="F122" s="179"/>
      <c r="G122" s="180" t="s">
        <v>722</v>
      </c>
      <c r="H122" s="170">
        <f>ROUND(F125,2)</f>
        <v>583.20000000000005</v>
      </c>
    </row>
    <row r="123" spans="1:8" s="137" customFormat="1" ht="12.75" customHeight="1">
      <c r="A123" s="98"/>
      <c r="B123" s="103"/>
      <c r="C123" s="104"/>
      <c r="D123" s="97"/>
      <c r="E123" s="110" t="s">
        <v>317</v>
      </c>
      <c r="F123" s="160">
        <f>((15*(8+6)+10*(12+6)+(6.5*51.01)+886+7*43.74)*0.15-0.35*(10.9+19.2+14.7+8.6))*1.05</f>
        <v>281.79000000000002</v>
      </c>
      <c r="G123" s="169"/>
      <c r="H123" s="170"/>
    </row>
    <row r="124" spans="1:8" s="137" customFormat="1" ht="21.6" customHeight="1">
      <c r="A124" s="98"/>
      <c r="B124" s="103"/>
      <c r="C124" s="104"/>
      <c r="D124" s="97"/>
      <c r="E124" s="110" t="s">
        <v>318</v>
      </c>
      <c r="F124" s="184">
        <f>((15*(8+6)+10*(12+6)+(6.5*51.01)+886+7*43.74)*0.15)*1.05</f>
        <v>301.41000000000003</v>
      </c>
      <c r="G124" s="169"/>
      <c r="H124" s="170"/>
    </row>
    <row r="125" spans="1:8" s="137" customFormat="1" ht="12.75" customHeight="1">
      <c r="A125" s="188"/>
      <c r="B125" s="103"/>
      <c r="C125" s="104"/>
      <c r="D125" s="97"/>
      <c r="E125" s="110"/>
      <c r="F125" s="160">
        <f>SUM(F123:F124)</f>
        <v>583.20000000000005</v>
      </c>
      <c r="G125" s="161"/>
      <c r="H125" s="170"/>
    </row>
    <row r="126" spans="1:8" s="137" customFormat="1" ht="12.75" customHeight="1">
      <c r="A126" s="98"/>
      <c r="B126" s="103" t="s">
        <v>658</v>
      </c>
      <c r="C126" s="164" t="s">
        <v>77</v>
      </c>
      <c r="D126" s="165"/>
      <c r="E126" s="166" t="s">
        <v>78</v>
      </c>
      <c r="F126" s="167"/>
      <c r="G126" s="168" t="s">
        <v>722</v>
      </c>
      <c r="H126" s="159">
        <f>H127</f>
        <v>281.79000000000002</v>
      </c>
    </row>
    <row r="127" spans="1:8" s="137" customFormat="1" ht="12.75" customHeight="1">
      <c r="A127" s="188"/>
      <c r="B127" s="103"/>
      <c r="C127" s="181"/>
      <c r="D127" s="177" t="s">
        <v>319</v>
      </c>
      <c r="E127" s="178" t="s">
        <v>320</v>
      </c>
      <c r="F127" s="179"/>
      <c r="G127" s="180" t="s">
        <v>722</v>
      </c>
      <c r="H127" s="170">
        <f>ROUND(F128,2)</f>
        <v>281.79000000000002</v>
      </c>
    </row>
    <row r="128" spans="1:8" s="137" customFormat="1" ht="27.6" customHeight="1">
      <c r="A128" s="98"/>
      <c r="B128" s="103"/>
      <c r="C128" s="104"/>
      <c r="D128" s="97"/>
      <c r="E128" s="110" t="s">
        <v>321</v>
      </c>
      <c r="F128" s="160">
        <f>((15*(8+6)+10*(12+6)+(6.5*51.01)+886+7*43.74)*0.15-0.35*(10.9+19.2+14.7+8.6))*1.05</f>
        <v>281.79000000000002</v>
      </c>
      <c r="G128" s="169"/>
      <c r="H128" s="170"/>
    </row>
    <row r="129" spans="1:8" s="137" customFormat="1" ht="12.75" customHeight="1">
      <c r="A129" s="98"/>
      <c r="B129" s="103" t="s">
        <v>659</v>
      </c>
      <c r="C129" s="164" t="s">
        <v>79</v>
      </c>
      <c r="D129" s="165"/>
      <c r="E129" s="166" t="s">
        <v>80</v>
      </c>
      <c r="F129" s="167"/>
      <c r="G129" s="168" t="s">
        <v>723</v>
      </c>
      <c r="H129" s="159">
        <f>H130</f>
        <v>1605.22</v>
      </c>
    </row>
    <row r="130" spans="1:8" s="137" customFormat="1" ht="12.75" customHeight="1">
      <c r="A130" s="188"/>
      <c r="B130" s="103"/>
      <c r="C130" s="104"/>
      <c r="D130" s="177" t="s">
        <v>322</v>
      </c>
      <c r="E130" s="178" t="s">
        <v>323</v>
      </c>
      <c r="F130" s="179"/>
      <c r="G130" s="180" t="s">
        <v>723</v>
      </c>
      <c r="H130" s="170">
        <f>ROUND(F131,2)</f>
        <v>1605.22</v>
      </c>
    </row>
    <row r="131" spans="1:8" s="137" customFormat="1" ht="12.75" customHeight="1">
      <c r="A131" s="98"/>
      <c r="B131" s="103"/>
      <c r="C131" s="104"/>
      <c r="D131" s="97"/>
      <c r="E131" s="110" t="s">
        <v>324</v>
      </c>
      <c r="F131" s="160">
        <f>((15*(8+6)+10*(12+6)+886+7*43.74)-1*(10.9+19.2+14.7+8.6))*1.05</f>
        <v>1605.22</v>
      </c>
      <c r="G131" s="169"/>
      <c r="H131" s="170"/>
    </row>
    <row r="132" spans="1:8" s="137" customFormat="1" ht="12.75" customHeight="1">
      <c r="A132" s="98"/>
      <c r="B132" s="103" t="s">
        <v>660</v>
      </c>
      <c r="C132" s="164" t="s">
        <v>81</v>
      </c>
      <c r="D132" s="165"/>
      <c r="E132" s="166" t="s">
        <v>82</v>
      </c>
      <c r="F132" s="167"/>
      <c r="G132" s="168" t="s">
        <v>723</v>
      </c>
      <c r="H132" s="159">
        <f>H133</f>
        <v>1605.22</v>
      </c>
    </row>
    <row r="133" spans="1:8" s="137" customFormat="1" ht="12.75" customHeight="1">
      <c r="A133" s="188"/>
      <c r="B133" s="103"/>
      <c r="C133" s="104"/>
      <c r="D133" s="177" t="s">
        <v>325</v>
      </c>
      <c r="E133" s="178" t="s">
        <v>326</v>
      </c>
      <c r="F133" s="179"/>
      <c r="G133" s="180" t="s">
        <v>723</v>
      </c>
      <c r="H133" s="170">
        <f>H130</f>
        <v>1605.22</v>
      </c>
    </row>
    <row r="134" spans="1:8" s="137" customFormat="1" ht="12.75" customHeight="1">
      <c r="A134" s="98"/>
      <c r="B134" s="103" t="s">
        <v>661</v>
      </c>
      <c r="C134" s="164" t="s">
        <v>83</v>
      </c>
      <c r="D134" s="165"/>
      <c r="E134" s="166" t="s">
        <v>84</v>
      </c>
      <c r="F134" s="167"/>
      <c r="G134" s="168" t="s">
        <v>723</v>
      </c>
      <c r="H134" s="159">
        <f>H135</f>
        <v>1605.22</v>
      </c>
    </row>
    <row r="135" spans="1:8" s="137" customFormat="1" ht="12.75" customHeight="1">
      <c r="A135" s="188"/>
      <c r="B135" s="103"/>
      <c r="C135" s="104"/>
      <c r="D135" s="177" t="s">
        <v>327</v>
      </c>
      <c r="E135" s="178" t="s">
        <v>328</v>
      </c>
      <c r="F135" s="179"/>
      <c r="G135" s="180" t="s">
        <v>723</v>
      </c>
      <c r="H135" s="170">
        <f>H130</f>
        <v>1605.22</v>
      </c>
    </row>
    <row r="136" spans="1:8" s="137" customFormat="1" ht="12.75" customHeight="1">
      <c r="A136" s="188" t="s">
        <v>86</v>
      </c>
      <c r="B136" s="103"/>
      <c r="C136" s="104"/>
      <c r="D136" s="97"/>
      <c r="E136" s="189" t="s">
        <v>329</v>
      </c>
      <c r="F136" s="179"/>
      <c r="G136" s="180"/>
      <c r="H136" s="159"/>
    </row>
    <row r="137" spans="1:8" s="137" customFormat="1" ht="12.75" customHeight="1">
      <c r="A137" s="188"/>
      <c r="B137" s="103" t="s">
        <v>662</v>
      </c>
      <c r="C137" s="164" t="s">
        <v>87</v>
      </c>
      <c r="D137" s="165"/>
      <c r="E137" s="166" t="s">
        <v>88</v>
      </c>
      <c r="F137" s="167"/>
      <c r="G137" s="168" t="s">
        <v>724</v>
      </c>
      <c r="H137" s="159">
        <f>H138</f>
        <v>85</v>
      </c>
    </row>
    <row r="138" spans="1:8" s="137" customFormat="1" ht="12.75" customHeight="1">
      <c r="A138" s="188"/>
      <c r="B138" s="103"/>
      <c r="C138" s="104"/>
      <c r="D138" s="177" t="s">
        <v>330</v>
      </c>
      <c r="E138" s="178" t="s">
        <v>331</v>
      </c>
      <c r="F138" s="179"/>
      <c r="G138" s="180" t="s">
        <v>724</v>
      </c>
      <c r="H138" s="170">
        <f>F139</f>
        <v>85</v>
      </c>
    </row>
    <row r="139" spans="1:8" s="137" customFormat="1" ht="12.75" customHeight="1">
      <c r="A139" s="188"/>
      <c r="B139" s="103"/>
      <c r="C139" s="190"/>
      <c r="D139" s="177"/>
      <c r="E139" s="110" t="s">
        <v>332</v>
      </c>
      <c r="F139" s="160">
        <v>85</v>
      </c>
      <c r="G139" s="180"/>
      <c r="H139" s="159"/>
    </row>
    <row r="140" spans="1:8" s="137" customFormat="1" ht="12.75" customHeight="1">
      <c r="A140" s="188"/>
      <c r="B140" s="103" t="s">
        <v>663</v>
      </c>
      <c r="C140" s="164" t="s">
        <v>89</v>
      </c>
      <c r="D140" s="97"/>
      <c r="E140" s="166" t="s">
        <v>90</v>
      </c>
      <c r="F140" s="167"/>
      <c r="G140" s="168" t="s">
        <v>722</v>
      </c>
      <c r="H140" s="159">
        <f>H141</f>
        <v>249.19</v>
      </c>
    </row>
    <row r="141" spans="1:8" s="137" customFormat="1" ht="12.75" customHeight="1">
      <c r="A141" s="188"/>
      <c r="B141" s="103"/>
      <c r="C141" s="190"/>
      <c r="D141" s="177" t="s">
        <v>333</v>
      </c>
      <c r="E141" s="178" t="s">
        <v>334</v>
      </c>
      <c r="F141" s="179"/>
      <c r="G141" s="180" t="s">
        <v>722</v>
      </c>
      <c r="H141" s="170">
        <f>ROUND(F142,2)</f>
        <v>249.19</v>
      </c>
    </row>
    <row r="142" spans="1:8" s="137" customFormat="1" ht="25.8" customHeight="1">
      <c r="A142" s="98"/>
      <c r="B142" s="103"/>
      <c r="C142" s="104"/>
      <c r="D142" s="97"/>
      <c r="E142" s="110" t="s">
        <v>335</v>
      </c>
      <c r="F142" s="160">
        <f>(15*(8+6)+10*(12+6)+886+7*43.74)*0.15*1.05</f>
        <v>249.19</v>
      </c>
      <c r="G142" s="169"/>
      <c r="H142" s="170"/>
    </row>
    <row r="143" spans="1:8" s="137" customFormat="1" ht="12.75" customHeight="1">
      <c r="A143" s="188"/>
      <c r="B143" s="103" t="s">
        <v>664</v>
      </c>
      <c r="C143" s="164" t="s">
        <v>91</v>
      </c>
      <c r="D143" s="165"/>
      <c r="E143" s="166" t="s">
        <v>92</v>
      </c>
      <c r="F143" s="174"/>
      <c r="G143" s="168" t="s">
        <v>722</v>
      </c>
      <c r="H143" s="159">
        <f>(+H144)</f>
        <v>11.21</v>
      </c>
    </row>
    <row r="144" spans="1:8" s="137" customFormat="1" ht="12.75" customHeight="1">
      <c r="A144" s="191"/>
      <c r="B144" s="103"/>
      <c r="C144" s="181"/>
      <c r="D144" s="177" t="s">
        <v>336</v>
      </c>
      <c r="E144" s="178" t="s">
        <v>337</v>
      </c>
      <c r="F144" s="182"/>
      <c r="G144" s="180" t="s">
        <v>722</v>
      </c>
      <c r="H144" s="170">
        <f>ROUND(F146,2)</f>
        <v>11.21</v>
      </c>
    </row>
    <row r="145" spans="1:8" s="137" customFormat="1" ht="12.75" customHeight="1">
      <c r="A145" s="191"/>
      <c r="B145" s="103"/>
      <c r="C145" s="181"/>
      <c r="D145" s="177"/>
      <c r="E145" s="110" t="s">
        <v>338</v>
      </c>
      <c r="F145" s="182"/>
      <c r="G145" s="180"/>
      <c r="H145" s="170"/>
    </row>
    <row r="146" spans="1:8" s="193" customFormat="1" ht="12.75" customHeight="1">
      <c r="A146" s="98"/>
      <c r="B146" s="103"/>
      <c r="C146" s="104"/>
      <c r="D146" s="97"/>
      <c r="E146" s="110" t="s">
        <v>339</v>
      </c>
      <c r="F146" s="192">
        <f>(0.35-0.15)*(10.9+19.2+14.7+8.6)*1.05</f>
        <v>11.21</v>
      </c>
      <c r="G146" s="169"/>
      <c r="H146" s="170"/>
    </row>
    <row r="147" spans="1:8" s="193" customFormat="1" ht="12.75" customHeight="1">
      <c r="A147" s="188"/>
      <c r="B147" s="103" t="s">
        <v>665</v>
      </c>
      <c r="C147" s="164" t="s">
        <v>93</v>
      </c>
      <c r="D147" s="165"/>
      <c r="E147" s="166" t="s">
        <v>94</v>
      </c>
      <c r="F147" s="167"/>
      <c r="G147" s="168" t="s">
        <v>722</v>
      </c>
      <c r="H147" s="159">
        <f>H148</f>
        <v>532.6</v>
      </c>
    </row>
    <row r="148" spans="1:8" s="193" customFormat="1" ht="12.75" customHeight="1">
      <c r="A148" s="98"/>
      <c r="B148" s="103"/>
      <c r="C148" s="104"/>
      <c r="D148" s="177" t="s">
        <v>340</v>
      </c>
      <c r="E148" s="178" t="s">
        <v>341</v>
      </c>
      <c r="F148" s="179"/>
      <c r="G148" s="180" t="s">
        <v>722</v>
      </c>
      <c r="H148" s="170">
        <f>ROUND(F155,2)</f>
        <v>532.6</v>
      </c>
    </row>
    <row r="149" spans="1:8" s="137" customFormat="1" ht="12.75" customHeight="1">
      <c r="A149" s="98"/>
      <c r="B149" s="103"/>
      <c r="C149" s="104"/>
      <c r="D149" s="97"/>
      <c r="E149" s="110" t="s">
        <v>342</v>
      </c>
      <c r="F149" s="160">
        <f>0.5*51.01*(1.62+4.79+1.12)*1.1</f>
        <v>211.26</v>
      </c>
      <c r="G149" s="169"/>
      <c r="H149" s="170"/>
    </row>
    <row r="150" spans="1:8" s="137" customFormat="1" ht="12.75" customHeight="1">
      <c r="A150" s="98"/>
      <c r="B150" s="103"/>
      <c r="C150" s="104"/>
      <c r="D150" s="97"/>
      <c r="E150" s="110" t="s">
        <v>343</v>
      </c>
      <c r="F150" s="160">
        <f>0.5*51.01*(0.96+4.79+0.5)*1.1</f>
        <v>175.35</v>
      </c>
      <c r="G150" s="169"/>
      <c r="H150" s="170"/>
    </row>
    <row r="151" spans="1:8" s="137" customFormat="1" ht="12.75" customHeight="1">
      <c r="A151" s="98"/>
      <c r="B151" s="103"/>
      <c r="C151" s="104"/>
      <c r="D151" s="97"/>
      <c r="E151" s="110" t="s">
        <v>344</v>
      </c>
      <c r="F151" s="160"/>
      <c r="G151" s="169"/>
      <c r="H151" s="170"/>
    </row>
    <row r="152" spans="1:8" s="137" customFormat="1" ht="12.75" customHeight="1">
      <c r="A152" s="98"/>
      <c r="B152" s="103"/>
      <c r="C152" s="104"/>
      <c r="D152" s="97"/>
      <c r="E152" s="110" t="s">
        <v>345</v>
      </c>
      <c r="F152" s="160">
        <f>(4.5+3.4)*(0.96+4.79+0.5)*1.1</f>
        <v>54.31</v>
      </c>
      <c r="G152" s="169"/>
      <c r="H152" s="170"/>
    </row>
    <row r="153" spans="1:8" s="137" customFormat="1" ht="12.75" customHeight="1">
      <c r="A153" s="98"/>
      <c r="B153" s="103"/>
      <c r="C153" s="104"/>
      <c r="D153" s="97"/>
      <c r="E153" s="110" t="s">
        <v>346</v>
      </c>
      <c r="F153" s="160"/>
      <c r="G153" s="169"/>
      <c r="H153" s="170"/>
    </row>
    <row r="154" spans="1:8" s="137" customFormat="1" ht="12.75" customHeight="1">
      <c r="A154" s="98"/>
      <c r="B154" s="103"/>
      <c r="C154" s="104"/>
      <c r="D154" s="97"/>
      <c r="E154" s="110" t="s">
        <v>347</v>
      </c>
      <c r="F154" s="171">
        <f>(9.7+7.7)*(4.79)*1.1</f>
        <v>91.68</v>
      </c>
      <c r="G154" s="169"/>
      <c r="H154" s="170"/>
    </row>
    <row r="155" spans="1:8" s="137" customFormat="1" ht="12.75" customHeight="1">
      <c r="A155" s="98"/>
      <c r="B155" s="103"/>
      <c r="C155" s="104"/>
      <c r="D155" s="97"/>
      <c r="E155" s="110"/>
      <c r="F155" s="160">
        <f>SUM(F149:F154)</f>
        <v>532.6</v>
      </c>
      <c r="G155" s="169"/>
      <c r="H155" s="170"/>
    </row>
    <row r="156" spans="1:8" s="137" customFormat="1" ht="12.75" customHeight="1">
      <c r="A156" s="188"/>
      <c r="B156" s="103" t="s">
        <v>666</v>
      </c>
      <c r="C156" s="164" t="s">
        <v>95</v>
      </c>
      <c r="D156" s="165"/>
      <c r="E156" s="166" t="s">
        <v>96</v>
      </c>
      <c r="F156" s="167"/>
      <c r="G156" s="168" t="s">
        <v>722</v>
      </c>
      <c r="H156" s="159">
        <f>H157</f>
        <v>493.26</v>
      </c>
    </row>
    <row r="157" spans="1:8" s="137" customFormat="1" ht="12.75" customHeight="1">
      <c r="A157" s="98"/>
      <c r="B157" s="103"/>
      <c r="C157" s="164"/>
      <c r="D157" s="177" t="s">
        <v>348</v>
      </c>
      <c r="E157" s="178" t="s">
        <v>349</v>
      </c>
      <c r="F157" s="179"/>
      <c r="G157" s="180" t="s">
        <v>722</v>
      </c>
      <c r="H157" s="170">
        <f>ROUND(F162,2)</f>
        <v>493.26</v>
      </c>
    </row>
    <row r="158" spans="1:8" s="137" customFormat="1" ht="29.4" customHeight="1">
      <c r="A158" s="98"/>
      <c r="B158" s="103"/>
      <c r="C158" s="104"/>
      <c r="D158" s="97"/>
      <c r="E158" s="110" t="s">
        <v>350</v>
      </c>
      <c r="F158" s="160">
        <f>(2.47*29.31+6.54*21.7 + 35.5*1.12+15.51*7.88)*1.05</f>
        <v>395.11</v>
      </c>
      <c r="G158" s="169"/>
      <c r="H158" s="170"/>
    </row>
    <row r="159" spans="1:8" s="137" customFormat="1" ht="12.75" customHeight="1">
      <c r="A159" s="98"/>
      <c r="B159" s="103"/>
      <c r="C159" s="104"/>
      <c r="D159" s="97"/>
      <c r="E159" s="110" t="s">
        <v>351</v>
      </c>
      <c r="F159" s="160">
        <f>(4.9*(2.5+0.6+4.5+0.6)+1.11*(2+0.6))*1.05</f>
        <v>45.22</v>
      </c>
      <c r="G159" s="169"/>
      <c r="H159" s="170"/>
    </row>
    <row r="160" spans="1:8" s="137" customFormat="1" ht="12.75" customHeight="1">
      <c r="A160" s="98"/>
      <c r="B160" s="103"/>
      <c r="C160" s="104"/>
      <c r="D160" s="97"/>
      <c r="E160" s="110" t="s">
        <v>352</v>
      </c>
      <c r="F160" s="160">
        <f>10.1*(3.91+0.6)*1.05</f>
        <v>47.83</v>
      </c>
      <c r="G160" s="169"/>
      <c r="H160" s="170"/>
    </row>
    <row r="161" spans="1:8" s="137" customFormat="1" ht="12.75" customHeight="1">
      <c r="A161" s="98"/>
      <c r="B161" s="103"/>
      <c r="C161" s="104"/>
      <c r="D161" s="97"/>
      <c r="E161" s="110" t="s">
        <v>353</v>
      </c>
      <c r="F161" s="184">
        <f xml:space="preserve"> 5.5*0.883*1.05</f>
        <v>5.0999999999999996</v>
      </c>
      <c r="G161" s="169"/>
      <c r="H161" s="170"/>
    </row>
    <row r="162" spans="1:8" s="137" customFormat="1" ht="12.75" customHeight="1">
      <c r="A162" s="98"/>
      <c r="B162" s="103"/>
      <c r="C162" s="164"/>
      <c r="D162" s="177"/>
      <c r="E162" s="178"/>
      <c r="F162" s="160">
        <f>SUM(F158:F161)</f>
        <v>493.26</v>
      </c>
      <c r="G162" s="180"/>
      <c r="H162" s="170"/>
    </row>
    <row r="163" spans="1:8" s="137" customFormat="1" ht="12.75" customHeight="1">
      <c r="A163" s="188"/>
      <c r="B163" s="103" t="s">
        <v>667</v>
      </c>
      <c r="C163" s="164" t="s">
        <v>101</v>
      </c>
      <c r="D163" s="165"/>
      <c r="E163" s="166" t="s">
        <v>102</v>
      </c>
      <c r="F163" s="167"/>
      <c r="G163" s="168" t="s">
        <v>722</v>
      </c>
      <c r="H163" s="159">
        <f>H164</f>
        <v>1286.26</v>
      </c>
    </row>
    <row r="164" spans="1:8" s="137" customFormat="1" ht="12.75" customHeight="1">
      <c r="A164" s="194"/>
      <c r="B164" s="103"/>
      <c r="C164" s="181"/>
      <c r="D164" s="177" t="s">
        <v>361</v>
      </c>
      <c r="E164" s="178" t="s">
        <v>362</v>
      </c>
      <c r="F164" s="179"/>
      <c r="G164" s="180" t="s">
        <v>722</v>
      </c>
      <c r="H164" s="170">
        <f>ROUND(F169,2)</f>
        <v>1286.26</v>
      </c>
    </row>
    <row r="165" spans="1:8" s="137" customFormat="1" ht="12.75" customHeight="1">
      <c r="A165" s="98"/>
      <c r="B165" s="103"/>
      <c r="C165" s="181"/>
      <c r="D165" s="177"/>
      <c r="E165" s="110" t="s">
        <v>363</v>
      </c>
      <c r="F165" s="160">
        <f>F142</f>
        <v>249.19</v>
      </c>
      <c r="G165" s="180"/>
      <c r="H165" s="159"/>
    </row>
    <row r="166" spans="1:8" s="137" customFormat="1" ht="12.75" customHeight="1">
      <c r="A166" s="98"/>
      <c r="B166" s="103"/>
      <c r="C166" s="181"/>
      <c r="D166" s="177"/>
      <c r="E166" s="110" t="s">
        <v>364</v>
      </c>
      <c r="F166" s="160">
        <f>F146</f>
        <v>11.21</v>
      </c>
      <c r="G166" s="180"/>
      <c r="H166" s="159"/>
    </row>
    <row r="167" spans="1:8" s="137" customFormat="1" ht="12.75" customHeight="1">
      <c r="A167" s="98"/>
      <c r="B167" s="103"/>
      <c r="C167" s="181"/>
      <c r="D167" s="177"/>
      <c r="E167" s="110" t="s">
        <v>365</v>
      </c>
      <c r="F167" s="160">
        <f>F155</f>
        <v>532.6</v>
      </c>
      <c r="G167" s="180"/>
      <c r="H167" s="159"/>
    </row>
    <row r="168" spans="1:8" s="137" customFormat="1" ht="12.75" customHeight="1">
      <c r="A168" s="98"/>
      <c r="B168" s="103"/>
      <c r="C168" s="181"/>
      <c r="D168" s="177"/>
      <c r="E168" s="110" t="s">
        <v>366</v>
      </c>
      <c r="F168" s="171">
        <f>F162</f>
        <v>493.26</v>
      </c>
      <c r="G168" s="180"/>
      <c r="H168" s="159"/>
    </row>
    <row r="169" spans="1:8" s="137" customFormat="1" ht="12.75" customHeight="1">
      <c r="A169" s="194"/>
      <c r="B169" s="103"/>
      <c r="C169" s="181"/>
      <c r="D169" s="177"/>
      <c r="E169" s="178"/>
      <c r="F169" s="160">
        <f>SUM(F165:F168)</f>
        <v>1286.26</v>
      </c>
      <c r="G169" s="180"/>
      <c r="H169" s="170"/>
    </row>
    <row r="170" spans="1:8" s="137" customFormat="1" ht="12.75" customHeight="1">
      <c r="A170" s="188"/>
      <c r="B170" s="103" t="s">
        <v>668</v>
      </c>
      <c r="C170" s="164" t="s">
        <v>97</v>
      </c>
      <c r="D170" s="165"/>
      <c r="E170" s="166" t="s">
        <v>98</v>
      </c>
      <c r="F170" s="167"/>
      <c r="G170" s="168" t="s">
        <v>722</v>
      </c>
      <c r="H170" s="159">
        <f>H171</f>
        <v>1.94</v>
      </c>
    </row>
    <row r="171" spans="1:8" s="137" customFormat="1" ht="12.75" customHeight="1">
      <c r="A171" s="98"/>
      <c r="B171" s="103"/>
      <c r="C171" s="164"/>
      <c r="D171" s="177" t="s">
        <v>354</v>
      </c>
      <c r="E171" s="178" t="s">
        <v>355</v>
      </c>
      <c r="F171" s="179"/>
      <c r="G171" s="180" t="s">
        <v>722</v>
      </c>
      <c r="H171" s="170">
        <f>ROUND(F172,2)</f>
        <v>1.94</v>
      </c>
    </row>
    <row r="172" spans="1:8" s="137" customFormat="1" ht="12.75" customHeight="1">
      <c r="A172" s="98"/>
      <c r="B172" s="103"/>
      <c r="C172" s="164"/>
      <c r="D172" s="165"/>
      <c r="E172" s="110" t="s">
        <v>356</v>
      </c>
      <c r="F172" s="160">
        <f>3.24*0.6</f>
        <v>1.94</v>
      </c>
      <c r="G172" s="168"/>
      <c r="H172" s="159"/>
    </row>
    <row r="173" spans="1:8" s="137" customFormat="1" ht="12.75" customHeight="1">
      <c r="A173" s="188"/>
      <c r="B173" s="103" t="s">
        <v>669</v>
      </c>
      <c r="C173" s="164" t="s">
        <v>99</v>
      </c>
      <c r="D173" s="165"/>
      <c r="E173" s="166" t="s">
        <v>100</v>
      </c>
      <c r="F173" s="167"/>
      <c r="G173" s="168" t="s">
        <v>722</v>
      </c>
      <c r="H173" s="159">
        <f>H174</f>
        <v>121.69</v>
      </c>
    </row>
    <row r="174" spans="1:8" s="137" customFormat="1" ht="12.75" customHeight="1">
      <c r="A174" s="188"/>
      <c r="B174" s="103"/>
      <c r="C174" s="164"/>
      <c r="D174" s="177" t="s">
        <v>357</v>
      </c>
      <c r="E174" s="178" t="s">
        <v>358</v>
      </c>
      <c r="F174" s="179"/>
      <c r="G174" s="180" t="s">
        <v>722</v>
      </c>
      <c r="H174" s="170">
        <f>ROUND(F177,2)</f>
        <v>121.69</v>
      </c>
    </row>
    <row r="175" spans="1:8" s="137" customFormat="1" ht="29.4" customHeight="1">
      <c r="A175" s="98"/>
      <c r="B175" s="103"/>
      <c r="C175" s="164"/>
      <c r="D175" s="165"/>
      <c r="E175" s="110" t="s">
        <v>359</v>
      </c>
      <c r="F175" s="160">
        <f>(0.42*13.02+0.6*(9.11+40.42)+0.42*9.31+0.6*(14.62+21.51))*1.02</f>
        <v>61.99</v>
      </c>
      <c r="G175" s="168"/>
      <c r="H175" s="159"/>
    </row>
    <row r="176" spans="1:8" s="137" customFormat="1" ht="12.75" customHeight="1">
      <c r="A176" s="98"/>
      <c r="B176" s="103"/>
      <c r="C176" s="164"/>
      <c r="D176" s="165"/>
      <c r="E176" s="110" t="s">
        <v>360</v>
      </c>
      <c r="F176" s="171">
        <f>0.15*(163+235)</f>
        <v>59.7</v>
      </c>
      <c r="G176" s="168"/>
      <c r="H176" s="159"/>
    </row>
    <row r="177" spans="1:8" s="137" customFormat="1" ht="12.75" customHeight="1">
      <c r="A177" s="188"/>
      <c r="B177" s="103"/>
      <c r="C177" s="164"/>
      <c r="D177" s="165"/>
      <c r="E177" s="166"/>
      <c r="F177" s="160">
        <f>SUM(F175:F176)</f>
        <v>121.69</v>
      </c>
      <c r="G177" s="168"/>
      <c r="H177" s="159"/>
    </row>
    <row r="178" spans="1:8" s="137" customFormat="1" ht="12.75" customHeight="1">
      <c r="A178" s="188"/>
      <c r="B178" s="103" t="s">
        <v>670</v>
      </c>
      <c r="C178" s="164" t="s">
        <v>71</v>
      </c>
      <c r="D178" s="165"/>
      <c r="E178" s="166" t="s">
        <v>72</v>
      </c>
      <c r="F178" s="167"/>
      <c r="G178" s="168" t="s">
        <v>722</v>
      </c>
      <c r="H178" s="159">
        <f>H179</f>
        <v>860.51</v>
      </c>
    </row>
    <row r="179" spans="1:8" s="137" customFormat="1" ht="12.75" customHeight="1">
      <c r="A179" s="98"/>
      <c r="B179" s="103"/>
      <c r="C179" s="181"/>
      <c r="D179" s="177" t="s">
        <v>367</v>
      </c>
      <c r="E179" s="178" t="s">
        <v>368</v>
      </c>
      <c r="F179" s="179"/>
      <c r="G179" s="180" t="s">
        <v>722</v>
      </c>
      <c r="H179" s="170">
        <f>ROUND(F184,2)</f>
        <v>860.51</v>
      </c>
    </row>
    <row r="180" spans="1:8" s="137" customFormat="1" ht="12.75" customHeight="1">
      <c r="A180" s="98"/>
      <c r="B180" s="103"/>
      <c r="C180" s="181"/>
      <c r="D180" s="177"/>
      <c r="E180" s="110" t="s">
        <v>369</v>
      </c>
      <c r="F180" s="160"/>
      <c r="G180" s="180"/>
      <c r="H180" s="159"/>
    </row>
    <row r="181" spans="1:8" s="137" customFormat="1" ht="12.75" customHeight="1">
      <c r="A181" s="98"/>
      <c r="B181" s="103"/>
      <c r="C181" s="181"/>
      <c r="D181" s="177"/>
      <c r="E181" s="110" t="s">
        <v>365</v>
      </c>
      <c r="F181" s="160">
        <f>F167</f>
        <v>532.6</v>
      </c>
      <c r="G181" s="180"/>
      <c r="H181" s="159"/>
    </row>
    <row r="182" spans="1:8" s="137" customFormat="1" ht="12.75" customHeight="1">
      <c r="A182" s="98"/>
      <c r="B182" s="103"/>
      <c r="C182" s="181"/>
      <c r="D182" s="177"/>
      <c r="E182" s="110" t="s">
        <v>364</v>
      </c>
      <c r="F182" s="160">
        <f>F166*0.65</f>
        <v>7.29</v>
      </c>
      <c r="G182" s="180"/>
      <c r="H182" s="159"/>
    </row>
    <row r="183" spans="1:8" s="137" customFormat="1" ht="12.75" customHeight="1">
      <c r="A183" s="98"/>
      <c r="B183" s="103"/>
      <c r="C183" s="181"/>
      <c r="D183" s="177"/>
      <c r="E183" s="110" t="s">
        <v>366</v>
      </c>
      <c r="F183" s="171">
        <f>F168*0.65</f>
        <v>320.62</v>
      </c>
      <c r="G183" s="180"/>
      <c r="H183" s="159"/>
    </row>
    <row r="184" spans="1:8" s="137" customFormat="1" ht="12.75" customHeight="1">
      <c r="A184" s="98"/>
      <c r="B184" s="103"/>
      <c r="C184" s="181"/>
      <c r="D184" s="177"/>
      <c r="E184" s="110"/>
      <c r="F184" s="160">
        <f>SUM(F181:F183)</f>
        <v>860.51</v>
      </c>
      <c r="G184" s="180"/>
      <c r="H184" s="159"/>
    </row>
    <row r="185" spans="1:8" s="137" customFormat="1" ht="12.75" customHeight="1">
      <c r="A185" s="194" t="s">
        <v>104</v>
      </c>
      <c r="B185" s="103"/>
      <c r="C185" s="195"/>
      <c r="D185" s="196"/>
      <c r="E185" s="194" t="s">
        <v>370</v>
      </c>
      <c r="F185" s="160"/>
      <c r="G185" s="161"/>
      <c r="H185" s="159"/>
    </row>
    <row r="186" spans="1:8" s="137" customFormat="1" ht="12.75" customHeight="1">
      <c r="A186" s="188"/>
      <c r="B186" s="103" t="s">
        <v>671</v>
      </c>
      <c r="C186" s="164" t="s">
        <v>105</v>
      </c>
      <c r="D186" s="165"/>
      <c r="E186" s="166" t="s">
        <v>106</v>
      </c>
      <c r="F186" s="167"/>
      <c r="G186" s="168" t="s">
        <v>722</v>
      </c>
      <c r="H186" s="159">
        <f>H187</f>
        <v>14.36</v>
      </c>
    </row>
    <row r="187" spans="1:8" s="137" customFormat="1" ht="12.75" customHeight="1">
      <c r="A187" s="191"/>
      <c r="B187" s="103"/>
      <c r="C187" s="195"/>
      <c r="D187" s="177" t="s">
        <v>371</v>
      </c>
      <c r="E187" s="197" t="s">
        <v>372</v>
      </c>
      <c r="F187" s="182"/>
      <c r="G187" s="198" t="s">
        <v>722</v>
      </c>
      <c r="H187" s="170">
        <f>ROUND(F188,2)</f>
        <v>14.36</v>
      </c>
    </row>
    <row r="188" spans="1:8" s="137" customFormat="1" ht="12.75" customHeight="1">
      <c r="A188" s="194"/>
      <c r="B188" s="103"/>
      <c r="C188" s="164"/>
      <c r="D188" s="165"/>
      <c r="E188" s="110" t="s">
        <v>373</v>
      </c>
      <c r="F188" s="160">
        <f>0.1*(75.1+61.7)*1.05</f>
        <v>14.36</v>
      </c>
      <c r="G188" s="168"/>
      <c r="H188" s="159"/>
    </row>
    <row r="189" spans="1:8" s="137" customFormat="1" ht="12.75" customHeight="1">
      <c r="A189" s="188"/>
      <c r="B189" s="103" t="s">
        <v>672</v>
      </c>
      <c r="C189" s="164" t="s">
        <v>107</v>
      </c>
      <c r="D189" s="165"/>
      <c r="E189" s="166" t="s">
        <v>108</v>
      </c>
      <c r="F189" s="167"/>
      <c r="G189" s="168" t="s">
        <v>722</v>
      </c>
      <c r="H189" s="159">
        <f>H190</f>
        <v>5.94</v>
      </c>
    </row>
    <row r="190" spans="1:8" s="137" customFormat="1" ht="12.75" customHeight="1">
      <c r="A190" s="191"/>
      <c r="B190" s="103"/>
      <c r="C190" s="195"/>
      <c r="D190" s="177" t="s">
        <v>374</v>
      </c>
      <c r="E190" s="197" t="s">
        <v>375</v>
      </c>
      <c r="F190" s="182"/>
      <c r="G190" s="198" t="s">
        <v>722</v>
      </c>
      <c r="H190" s="170">
        <f>ROUND(F191,2)</f>
        <v>5.94</v>
      </c>
    </row>
    <row r="191" spans="1:8" s="137" customFormat="1" ht="12.75" customHeight="1">
      <c r="A191" s="194"/>
      <c r="B191" s="103"/>
      <c r="C191" s="164"/>
      <c r="D191" s="165"/>
      <c r="E191" s="110" t="s">
        <v>376</v>
      </c>
      <c r="F191" s="160">
        <f>0.152*(21.7+15.5)*1.05</f>
        <v>5.94</v>
      </c>
      <c r="G191" s="168"/>
      <c r="H191" s="159"/>
    </row>
    <row r="192" spans="1:8" s="137" customFormat="1" ht="12.75" customHeight="1">
      <c r="A192" s="188"/>
      <c r="B192" s="103" t="s">
        <v>673</v>
      </c>
      <c r="C192" s="164" t="s">
        <v>109</v>
      </c>
      <c r="D192" s="165"/>
      <c r="E192" s="166" t="s">
        <v>110</v>
      </c>
      <c r="F192" s="167"/>
      <c r="G192" s="168" t="s">
        <v>723</v>
      </c>
      <c r="H192" s="159">
        <f>H193</f>
        <v>28.73</v>
      </c>
    </row>
    <row r="193" spans="1:8" s="137" customFormat="1" ht="12.75" customHeight="1">
      <c r="A193" s="191"/>
      <c r="B193" s="103"/>
      <c r="C193" s="195"/>
      <c r="D193" s="177" t="s">
        <v>377</v>
      </c>
      <c r="E193" s="197" t="s">
        <v>378</v>
      </c>
      <c r="F193" s="182"/>
      <c r="G193" s="198" t="s">
        <v>723</v>
      </c>
      <c r="H193" s="170">
        <f>ROUND(F194,2)</f>
        <v>28.73</v>
      </c>
    </row>
    <row r="194" spans="1:8" s="137" customFormat="1" ht="12.75" customHeight="1">
      <c r="A194" s="194"/>
      <c r="B194" s="103"/>
      <c r="C194" s="164"/>
      <c r="D194" s="165"/>
      <c r="E194" s="110" t="s">
        <v>379</v>
      </c>
      <c r="F194" s="160">
        <f>4*0.152+0.756*(21.7+15.5)</f>
        <v>28.73</v>
      </c>
      <c r="G194" s="168"/>
      <c r="H194" s="159"/>
    </row>
    <row r="195" spans="1:8" s="137" customFormat="1" ht="12.75" customHeight="1">
      <c r="A195" s="194"/>
      <c r="B195" s="103"/>
      <c r="C195" s="164"/>
      <c r="D195" s="165"/>
      <c r="E195" s="110" t="s">
        <v>380</v>
      </c>
      <c r="F195" s="160"/>
      <c r="G195" s="168"/>
      <c r="H195" s="159"/>
    </row>
    <row r="196" spans="1:8" s="137" customFormat="1" ht="12.75" customHeight="1">
      <c r="A196" s="188"/>
      <c r="B196" s="103" t="s">
        <v>674</v>
      </c>
      <c r="C196" s="164" t="s">
        <v>111</v>
      </c>
      <c r="D196" s="165"/>
      <c r="E196" s="166" t="s">
        <v>112</v>
      </c>
      <c r="F196" s="167"/>
      <c r="G196" s="168" t="s">
        <v>721</v>
      </c>
      <c r="H196" s="159">
        <f>H197</f>
        <v>0.95</v>
      </c>
    </row>
    <row r="197" spans="1:8" s="137" customFormat="1" ht="12.75" customHeight="1">
      <c r="A197" s="191"/>
      <c r="B197" s="103"/>
      <c r="C197" s="195"/>
      <c r="D197" s="177" t="s">
        <v>381</v>
      </c>
      <c r="E197" s="197" t="s">
        <v>382</v>
      </c>
      <c r="F197" s="182"/>
      <c r="G197" s="198" t="s">
        <v>721</v>
      </c>
      <c r="H197" s="170">
        <f>ROUND(F198,2)</f>
        <v>0.95</v>
      </c>
    </row>
    <row r="198" spans="1:8" s="137" customFormat="1" ht="12.75" customHeight="1">
      <c r="A198" s="194"/>
      <c r="B198" s="103"/>
      <c r="C198" s="164"/>
      <c r="D198" s="165"/>
      <c r="E198" s="110" t="s">
        <v>383</v>
      </c>
      <c r="F198" s="160">
        <f>(525.2+377.6)/1000*1.05</f>
        <v>0.95</v>
      </c>
      <c r="G198" s="168"/>
      <c r="H198" s="159"/>
    </row>
    <row r="199" spans="1:8" s="137" customFormat="1" ht="12.75" customHeight="1">
      <c r="A199" s="188"/>
      <c r="B199" s="103" t="s">
        <v>675</v>
      </c>
      <c r="C199" s="164" t="s">
        <v>113</v>
      </c>
      <c r="D199" s="165"/>
      <c r="E199" s="166" t="s">
        <v>114</v>
      </c>
      <c r="F199" s="167"/>
      <c r="G199" s="168" t="s">
        <v>722</v>
      </c>
      <c r="H199" s="159">
        <f>H200</f>
        <v>22.85</v>
      </c>
    </row>
    <row r="200" spans="1:8" s="137" customFormat="1" ht="12.75" customHeight="1">
      <c r="A200" s="191"/>
      <c r="B200" s="103"/>
      <c r="C200" s="195"/>
      <c r="D200" s="177" t="s">
        <v>384</v>
      </c>
      <c r="E200" s="197" t="s">
        <v>385</v>
      </c>
      <c r="F200" s="182"/>
      <c r="G200" s="198" t="s">
        <v>722</v>
      </c>
      <c r="H200" s="170">
        <f>ROUND(F201,2)</f>
        <v>22.85</v>
      </c>
    </row>
    <row r="201" spans="1:8" s="137" customFormat="1" ht="12.75" customHeight="1">
      <c r="A201" s="194"/>
      <c r="B201" s="103"/>
      <c r="C201" s="164"/>
      <c r="D201" s="165"/>
      <c r="E201" s="110" t="s">
        <v>386</v>
      </c>
      <c r="F201" s="160">
        <f>(0.262*(13.2+13.2)+0.214*(31.88+37.5))*1.05</f>
        <v>22.85</v>
      </c>
      <c r="G201" s="168"/>
      <c r="H201" s="159"/>
    </row>
    <row r="202" spans="1:8" s="137" customFormat="1" ht="12.75" customHeight="1">
      <c r="A202" s="199"/>
      <c r="B202" s="103" t="s">
        <v>676</v>
      </c>
      <c r="C202" s="164">
        <v>11050612</v>
      </c>
      <c r="D202" s="165"/>
      <c r="E202" s="166" t="s">
        <v>116</v>
      </c>
      <c r="F202" s="174"/>
      <c r="G202" s="168" t="s">
        <v>723</v>
      </c>
      <c r="H202" s="159">
        <f>H203</f>
        <v>72.010000000000005</v>
      </c>
    </row>
    <row r="203" spans="1:8" s="137" customFormat="1" ht="12.75" customHeight="1">
      <c r="A203" s="191"/>
      <c r="B203" s="103"/>
      <c r="C203" s="195"/>
      <c r="D203" s="177" t="s">
        <v>387</v>
      </c>
      <c r="E203" s="197" t="s">
        <v>388</v>
      </c>
      <c r="F203" s="182"/>
      <c r="G203" s="198" t="s">
        <v>723</v>
      </c>
      <c r="H203" s="170">
        <f>ROUND(F204,2)</f>
        <v>72.010000000000005</v>
      </c>
    </row>
    <row r="204" spans="1:8" s="137" customFormat="1" ht="12.75" customHeight="1">
      <c r="A204" s="194"/>
      <c r="B204" s="103"/>
      <c r="C204" s="164"/>
      <c r="D204" s="165"/>
      <c r="E204" s="110" t="s">
        <v>389</v>
      </c>
      <c r="F204" s="160">
        <f>(0.95+0.27)*(13.2+13.2)+(0.27+0.29)*(31.88+37.5)+2*(0.214+0.262)</f>
        <v>72.010000000000005</v>
      </c>
      <c r="G204" s="168"/>
      <c r="H204" s="159"/>
    </row>
    <row r="205" spans="1:8" s="137" customFormat="1" ht="12.75" customHeight="1">
      <c r="A205" s="199"/>
      <c r="B205" s="103" t="s">
        <v>677</v>
      </c>
      <c r="C205" s="164" t="s">
        <v>117</v>
      </c>
      <c r="D205" s="165"/>
      <c r="E205" s="166" t="s">
        <v>118</v>
      </c>
      <c r="F205" s="174"/>
      <c r="G205" s="168" t="s">
        <v>723</v>
      </c>
      <c r="H205" s="159">
        <f>H206</f>
        <v>5.28</v>
      </c>
    </row>
    <row r="206" spans="1:8" s="137" customFormat="1" ht="12.75" customHeight="1">
      <c r="A206" s="191"/>
      <c r="B206" s="103"/>
      <c r="C206" s="195"/>
      <c r="D206" s="177" t="s">
        <v>390</v>
      </c>
      <c r="E206" s="197" t="s">
        <v>391</v>
      </c>
      <c r="F206" s="182"/>
      <c r="G206" s="198" t="s">
        <v>723</v>
      </c>
      <c r="H206" s="170">
        <f>ROUND(F207,2)</f>
        <v>5.28</v>
      </c>
    </row>
    <row r="207" spans="1:8" s="137" customFormat="1" ht="12.75" customHeight="1">
      <c r="A207" s="194"/>
      <c r="B207" s="103"/>
      <c r="C207" s="164"/>
      <c r="D207" s="165"/>
      <c r="E207" s="110" t="s">
        <v>392</v>
      </c>
      <c r="F207" s="160">
        <f>2*0.2*13.2</f>
        <v>5.28</v>
      </c>
      <c r="G207" s="168"/>
      <c r="H207" s="159"/>
    </row>
    <row r="208" spans="1:8" s="137" customFormat="1" ht="12.75" customHeight="1">
      <c r="A208" s="199"/>
      <c r="B208" s="103" t="s">
        <v>678</v>
      </c>
      <c r="C208" s="164">
        <v>11050621</v>
      </c>
      <c r="D208" s="165"/>
      <c r="E208" s="166" t="s">
        <v>120</v>
      </c>
      <c r="F208" s="174"/>
      <c r="G208" s="168" t="s">
        <v>721</v>
      </c>
      <c r="H208" s="159">
        <f>H209</f>
        <v>2.93</v>
      </c>
    </row>
    <row r="209" spans="1:8" s="137" customFormat="1" ht="12.75" customHeight="1">
      <c r="A209" s="191"/>
      <c r="B209" s="103"/>
      <c r="C209" s="195"/>
      <c r="D209" s="177" t="s">
        <v>393</v>
      </c>
      <c r="E209" s="197" t="s">
        <v>394</v>
      </c>
      <c r="F209" s="182"/>
      <c r="G209" s="198" t="s">
        <v>721</v>
      </c>
      <c r="H209" s="170">
        <v>2.93</v>
      </c>
    </row>
    <row r="210" spans="1:8" s="137" customFormat="1" ht="12.75" customHeight="1">
      <c r="A210" s="199"/>
      <c r="B210" s="103" t="s">
        <v>679</v>
      </c>
      <c r="C210" s="164" t="s">
        <v>121</v>
      </c>
      <c r="D210" s="165"/>
      <c r="E210" s="200" t="s">
        <v>122</v>
      </c>
      <c r="F210" s="167"/>
      <c r="G210" s="168" t="s">
        <v>722</v>
      </c>
      <c r="H210" s="159">
        <f>H211</f>
        <v>40.19</v>
      </c>
    </row>
    <row r="211" spans="1:8" s="137" customFormat="1" ht="12.75" customHeight="1">
      <c r="A211" s="104"/>
      <c r="B211" s="103"/>
      <c r="C211" s="104"/>
      <c r="D211" s="177" t="s">
        <v>395</v>
      </c>
      <c r="E211" s="197" t="s">
        <v>396</v>
      </c>
      <c r="F211" s="179"/>
      <c r="G211" s="180" t="s">
        <v>722</v>
      </c>
      <c r="H211" s="170">
        <f>ROUND(F212,2)</f>
        <v>40.19</v>
      </c>
    </row>
    <row r="212" spans="1:8" s="137" customFormat="1" ht="12.75" customHeight="1">
      <c r="A212" s="194"/>
      <c r="B212" s="103"/>
      <c r="C212" s="164"/>
      <c r="D212" s="165"/>
      <c r="E212" s="110" t="s">
        <v>397</v>
      </c>
      <c r="F212" s="160">
        <f>(78.08+63.15)*0.271*1.05</f>
        <v>40.19</v>
      </c>
      <c r="G212" s="168"/>
      <c r="H212" s="159"/>
    </row>
    <row r="213" spans="1:8" s="137" customFormat="1" ht="12.75" customHeight="1">
      <c r="A213" s="199"/>
      <c r="B213" s="103" t="s">
        <v>680</v>
      </c>
      <c r="C213" s="164" t="s">
        <v>123</v>
      </c>
      <c r="D213" s="165"/>
      <c r="E213" s="200" t="s">
        <v>124</v>
      </c>
      <c r="F213" s="167"/>
      <c r="G213" s="168" t="s">
        <v>723</v>
      </c>
      <c r="H213" s="159">
        <f>H214</f>
        <v>14.68</v>
      </c>
    </row>
    <row r="214" spans="1:8" s="137" customFormat="1" ht="12.75" customHeight="1">
      <c r="A214" s="104"/>
      <c r="B214" s="103"/>
      <c r="C214" s="104"/>
      <c r="D214" s="177" t="s">
        <v>398</v>
      </c>
      <c r="E214" s="197" t="s">
        <v>399</v>
      </c>
      <c r="F214" s="179"/>
      <c r="G214" s="180" t="s">
        <v>723</v>
      </c>
      <c r="H214" s="170">
        <f>ROUND(F215,2)</f>
        <v>14.68</v>
      </c>
    </row>
    <row r="215" spans="1:8" s="137" customFormat="1" ht="12.75" customHeight="1">
      <c r="A215" s="194"/>
      <c r="B215" s="103"/>
      <c r="C215" s="164"/>
      <c r="D215" s="165"/>
      <c r="E215" s="110" t="s">
        <v>400</v>
      </c>
      <c r="F215" s="160">
        <f>0.271*(28.75+25.42)</f>
        <v>14.68</v>
      </c>
      <c r="G215" s="168"/>
      <c r="H215" s="159"/>
    </row>
    <row r="216" spans="1:8" s="137" customFormat="1" ht="12.75" customHeight="1">
      <c r="A216" s="199"/>
      <c r="B216" s="103" t="s">
        <v>681</v>
      </c>
      <c r="C216" s="164" t="s">
        <v>125</v>
      </c>
      <c r="D216" s="165"/>
      <c r="E216" s="166" t="s">
        <v>126</v>
      </c>
      <c r="F216" s="167"/>
      <c r="G216" s="168" t="s">
        <v>721</v>
      </c>
      <c r="H216" s="159">
        <f>H217</f>
        <v>6.76</v>
      </c>
    </row>
    <row r="217" spans="1:8" s="137" customFormat="1" ht="12.75" customHeight="1">
      <c r="A217" s="98"/>
      <c r="B217" s="103"/>
      <c r="C217" s="104"/>
      <c r="D217" s="177" t="s">
        <v>401</v>
      </c>
      <c r="E217" s="178" t="s">
        <v>402</v>
      </c>
      <c r="F217" s="179"/>
      <c r="G217" s="180" t="s">
        <v>721</v>
      </c>
      <c r="H217" s="170">
        <f>ROUND(F218,2)</f>
        <v>6.76</v>
      </c>
    </row>
    <row r="218" spans="1:8" s="137" customFormat="1" ht="12.75" customHeight="1">
      <c r="A218" s="194"/>
      <c r="B218" s="103"/>
      <c r="C218" s="164"/>
      <c r="D218" s="165"/>
      <c r="E218" s="110" t="s">
        <v>403</v>
      </c>
      <c r="F218" s="160">
        <f xml:space="preserve"> (3772.01+2987.05)/1000</f>
        <v>6.76</v>
      </c>
      <c r="G218" s="168"/>
      <c r="H218" s="159"/>
    </row>
    <row r="219" spans="1:8" s="137" customFormat="1" ht="12.75" customHeight="1">
      <c r="A219" s="199"/>
      <c r="B219" s="103" t="s">
        <v>682</v>
      </c>
      <c r="C219" s="104" t="s">
        <v>127</v>
      </c>
      <c r="D219" s="97"/>
      <c r="E219" s="98" t="s">
        <v>128</v>
      </c>
      <c r="F219" s="160"/>
      <c r="G219" s="161" t="s">
        <v>722</v>
      </c>
      <c r="H219" s="159">
        <f>H220</f>
        <v>82.13</v>
      </c>
    </row>
    <row r="220" spans="1:8" s="137" customFormat="1" ht="12.75" customHeight="1">
      <c r="A220" s="98"/>
      <c r="B220" s="103"/>
      <c r="C220" s="104"/>
      <c r="D220" s="97" t="s">
        <v>404</v>
      </c>
      <c r="E220" s="110" t="s">
        <v>405</v>
      </c>
      <c r="F220" s="160"/>
      <c r="G220" s="169" t="s">
        <v>722</v>
      </c>
      <c r="H220" s="170">
        <f>ROUND(F221,2)</f>
        <v>82.13</v>
      </c>
    </row>
    <row r="221" spans="1:8" s="137" customFormat="1" ht="12.75" customHeight="1">
      <c r="A221" s="98"/>
      <c r="B221" s="103"/>
      <c r="C221" s="104"/>
      <c r="D221" s="97"/>
      <c r="E221" s="110" t="s">
        <v>406</v>
      </c>
      <c r="F221" s="160">
        <f xml:space="preserve"> 1.4*51.01*1.15</f>
        <v>82.13</v>
      </c>
      <c r="G221" s="169"/>
      <c r="H221" s="170"/>
    </row>
    <row r="222" spans="1:8" s="137" customFormat="1" ht="12.75" customHeight="1">
      <c r="A222" s="199"/>
      <c r="B222" s="103" t="s">
        <v>683</v>
      </c>
      <c r="C222" s="104" t="s">
        <v>129</v>
      </c>
      <c r="D222" s="97"/>
      <c r="E222" s="98" t="s">
        <v>130</v>
      </c>
      <c r="F222" s="160"/>
      <c r="G222" s="168" t="s">
        <v>723</v>
      </c>
      <c r="H222" s="159">
        <f>H223+H227</f>
        <v>21.19</v>
      </c>
    </row>
    <row r="223" spans="1:8" s="137" customFormat="1" ht="12.75" customHeight="1">
      <c r="A223" s="98"/>
      <c r="B223" s="103"/>
      <c r="C223" s="104"/>
      <c r="D223" s="97" t="s">
        <v>407</v>
      </c>
      <c r="E223" s="110" t="s">
        <v>408</v>
      </c>
      <c r="F223" s="160"/>
      <c r="G223" s="180" t="s">
        <v>723</v>
      </c>
      <c r="H223" s="170">
        <f>ROUND(F224,2)</f>
        <v>21.19</v>
      </c>
    </row>
    <row r="224" spans="1:8" s="193" customFormat="1" ht="12.75" customHeight="1">
      <c r="A224" s="98"/>
      <c r="B224" s="103"/>
      <c r="C224" s="104"/>
      <c r="D224" s="97"/>
      <c r="E224" s="201"/>
      <c r="F224" s="192">
        <f>2*0.15*(51.01+13.2)*1.1</f>
        <v>21.19</v>
      </c>
      <c r="G224" s="169"/>
      <c r="H224" s="170"/>
    </row>
    <row r="225" spans="1:8" s="137" customFormat="1" ht="12.75" customHeight="1">
      <c r="A225" s="199"/>
      <c r="B225" s="103" t="s">
        <v>684</v>
      </c>
      <c r="C225" s="104" t="s">
        <v>131</v>
      </c>
      <c r="D225" s="97"/>
      <c r="E225" s="98" t="s">
        <v>132</v>
      </c>
      <c r="F225" s="160"/>
      <c r="G225" s="161" t="s">
        <v>721</v>
      </c>
      <c r="H225" s="159">
        <f>H226+H228</f>
        <v>5.69</v>
      </c>
    </row>
    <row r="226" spans="1:8" s="137" customFormat="1" ht="12.75" customHeight="1">
      <c r="A226" s="98"/>
      <c r="B226" s="103"/>
      <c r="C226" s="104"/>
      <c r="D226" s="97" t="s">
        <v>409</v>
      </c>
      <c r="E226" s="110" t="s">
        <v>410</v>
      </c>
      <c r="F226" s="160"/>
      <c r="G226" s="169" t="s">
        <v>721</v>
      </c>
      <c r="H226" s="170">
        <f>ROUND(F227,2)</f>
        <v>1.26</v>
      </c>
    </row>
    <row r="227" spans="1:8" s="137" customFormat="1" ht="12.75" customHeight="1">
      <c r="A227" s="194"/>
      <c r="B227" s="103"/>
      <c r="C227" s="195"/>
      <c r="D227" s="196"/>
      <c r="E227" s="110" t="s">
        <v>411</v>
      </c>
      <c r="F227" s="160">
        <v>1.26</v>
      </c>
      <c r="G227" s="161"/>
      <c r="H227" s="159"/>
    </row>
    <row r="228" spans="1:8" s="137" customFormat="1" ht="12.75" customHeight="1">
      <c r="A228" s="98"/>
      <c r="B228" s="103"/>
      <c r="C228" s="104"/>
      <c r="D228" s="97" t="s">
        <v>412</v>
      </c>
      <c r="E228" s="110" t="s">
        <v>413</v>
      </c>
      <c r="F228" s="160"/>
      <c r="G228" s="169" t="s">
        <v>721</v>
      </c>
      <c r="H228" s="170">
        <v>4.43</v>
      </c>
    </row>
    <row r="229" spans="1:8" s="137" customFormat="1" ht="12.75" customHeight="1">
      <c r="A229" s="199"/>
      <c r="B229" s="103" t="s">
        <v>685</v>
      </c>
      <c r="C229" s="164" t="s">
        <v>133</v>
      </c>
      <c r="D229" s="165"/>
      <c r="E229" s="166" t="s">
        <v>134</v>
      </c>
      <c r="F229" s="167"/>
      <c r="G229" s="168" t="s">
        <v>722</v>
      </c>
      <c r="H229" s="159">
        <f>H230</f>
        <v>243.01</v>
      </c>
    </row>
    <row r="230" spans="1:8" s="137" customFormat="1" ht="12.75" customHeight="1">
      <c r="A230" s="98"/>
      <c r="B230" s="103"/>
      <c r="C230" s="104"/>
      <c r="D230" s="97" t="s">
        <v>133</v>
      </c>
      <c r="E230" s="110" t="s">
        <v>134</v>
      </c>
      <c r="F230" s="160"/>
      <c r="G230" s="169" t="s">
        <v>722</v>
      </c>
      <c r="H230" s="170">
        <f>ROUND(F233,2)</f>
        <v>243.01</v>
      </c>
    </row>
    <row r="231" spans="1:8" s="137" customFormat="1" ht="12.75" customHeight="1">
      <c r="A231" s="98"/>
      <c r="B231" s="103"/>
      <c r="C231" s="104"/>
      <c r="D231" s="97"/>
      <c r="E231" s="110" t="s">
        <v>414</v>
      </c>
      <c r="F231" s="160">
        <f>(0.3*((29.31+1)*1.55+21.7*4.41)+ 0.3*((15.51+1)*3.84+35.5*1.21))*1.05</f>
        <v>78.44</v>
      </c>
      <c r="G231" s="169"/>
      <c r="H231" s="170"/>
    </row>
    <row r="232" spans="1:8" s="137" customFormat="1" ht="31.2" customHeight="1">
      <c r="A232" s="98"/>
      <c r="B232" s="103"/>
      <c r="C232" s="104"/>
      <c r="D232" s="97"/>
      <c r="E232" s="110" t="s">
        <v>415</v>
      </c>
      <c r="F232" s="171">
        <f>(1.52*(21.71+2*0.5)+(4.16+2.61)*(16+2*0.5))*1.1</f>
        <v>164.57</v>
      </c>
      <c r="G232" s="169"/>
      <c r="H232" s="170"/>
    </row>
    <row r="233" spans="1:8" s="137" customFormat="1" ht="12.75" customHeight="1">
      <c r="A233" s="98"/>
      <c r="B233" s="103"/>
      <c r="C233" s="104"/>
      <c r="D233" s="97"/>
      <c r="E233" s="110"/>
      <c r="F233" s="160">
        <f>SUM(F231:F232)</f>
        <v>243.01</v>
      </c>
      <c r="G233" s="169"/>
      <c r="H233" s="170"/>
    </row>
    <row r="234" spans="1:8" s="137" customFormat="1" ht="12.75" customHeight="1">
      <c r="A234" s="199"/>
      <c r="B234" s="103" t="s">
        <v>686</v>
      </c>
      <c r="C234" s="104" t="s">
        <v>135</v>
      </c>
      <c r="D234" s="97"/>
      <c r="E234" s="98" t="s">
        <v>136</v>
      </c>
      <c r="F234" s="160"/>
      <c r="G234" s="161" t="s">
        <v>723</v>
      </c>
      <c r="H234" s="159">
        <f>H235</f>
        <v>7.86</v>
      </c>
    </row>
    <row r="235" spans="1:8" s="137" customFormat="1" ht="12.75" customHeight="1">
      <c r="A235" s="98"/>
      <c r="B235" s="103"/>
      <c r="C235" s="104"/>
      <c r="D235" s="97" t="s">
        <v>135</v>
      </c>
      <c r="E235" s="110" t="s">
        <v>136</v>
      </c>
      <c r="F235" s="160"/>
      <c r="G235" s="169" t="s">
        <v>723</v>
      </c>
      <c r="H235" s="170">
        <f>ROUND(F238,2)</f>
        <v>7.86</v>
      </c>
    </row>
    <row r="236" spans="1:8" s="137" customFormat="1" ht="12.75" customHeight="1">
      <c r="A236" s="194"/>
      <c r="B236" s="103"/>
      <c r="C236" s="195"/>
      <c r="D236" s="196"/>
      <c r="E236" s="110" t="s">
        <v>416</v>
      </c>
      <c r="F236" s="160">
        <f>0.28*0.42*61</f>
        <v>7.17</v>
      </c>
      <c r="G236" s="161"/>
      <c r="H236" s="159"/>
    </row>
    <row r="237" spans="1:8" s="137" customFormat="1" ht="12.75" customHeight="1">
      <c r="A237" s="194"/>
      <c r="B237" s="103"/>
      <c r="C237" s="195"/>
      <c r="D237" s="196"/>
      <c r="E237" s="110" t="s">
        <v>417</v>
      </c>
      <c r="F237" s="184">
        <f>0.12*0.16*2*18</f>
        <v>0.69</v>
      </c>
      <c r="G237" s="161"/>
      <c r="H237" s="159"/>
    </row>
    <row r="238" spans="1:8" s="137" customFormat="1" ht="12.75" customHeight="1">
      <c r="A238" s="98"/>
      <c r="B238" s="103"/>
      <c r="C238" s="104"/>
      <c r="D238" s="97"/>
      <c r="E238" s="110"/>
      <c r="F238" s="160">
        <f>SUM(F236:F237)</f>
        <v>7.86</v>
      </c>
      <c r="G238" s="169"/>
      <c r="H238" s="170"/>
    </row>
    <row r="239" spans="1:8" s="137" customFormat="1" ht="12.75" customHeight="1">
      <c r="A239" s="199"/>
      <c r="B239" s="103" t="s">
        <v>687</v>
      </c>
      <c r="C239" s="164" t="s">
        <v>137</v>
      </c>
      <c r="D239" s="165"/>
      <c r="E239" s="166" t="s">
        <v>138</v>
      </c>
      <c r="F239" s="167"/>
      <c r="G239" s="168" t="s">
        <v>724</v>
      </c>
      <c r="H239" s="159">
        <f>H240</f>
        <v>77.45</v>
      </c>
    </row>
    <row r="240" spans="1:8" s="137" customFormat="1" ht="31.2" customHeight="1">
      <c r="A240" s="98"/>
      <c r="B240" s="103"/>
      <c r="C240" s="104"/>
      <c r="D240" s="177" t="s">
        <v>137</v>
      </c>
      <c r="E240" s="178" t="s">
        <v>418</v>
      </c>
      <c r="F240" s="179"/>
      <c r="G240" s="180" t="s">
        <v>724</v>
      </c>
      <c r="H240" s="170">
        <f>ROUND(F241,2)</f>
        <v>77.45</v>
      </c>
    </row>
    <row r="241" spans="1:8" s="137" customFormat="1" ht="27" customHeight="1">
      <c r="A241" s="98"/>
      <c r="B241" s="103"/>
      <c r="C241" s="104"/>
      <c r="D241" s="177"/>
      <c r="E241" s="110" t="s">
        <v>419</v>
      </c>
      <c r="F241" s="160">
        <f xml:space="preserve"> (37.84+3.68)+(31.83+4.1)</f>
        <v>77.45</v>
      </c>
      <c r="G241" s="180"/>
      <c r="H241" s="170"/>
    </row>
    <row r="242" spans="1:8" s="137" customFormat="1" ht="12.75" customHeight="1">
      <c r="A242" s="199"/>
      <c r="B242" s="103" t="s">
        <v>688</v>
      </c>
      <c r="C242" s="202" t="s">
        <v>139</v>
      </c>
      <c r="D242" s="203"/>
      <c r="E242" s="204" t="s">
        <v>140</v>
      </c>
      <c r="F242" s="160"/>
      <c r="G242" s="168" t="s">
        <v>725</v>
      </c>
      <c r="H242" s="159">
        <f>H243</f>
        <v>4</v>
      </c>
    </row>
    <row r="243" spans="1:8" s="137" customFormat="1" ht="12.75" customHeight="1">
      <c r="A243" s="98"/>
      <c r="B243" s="103"/>
      <c r="C243" s="202"/>
      <c r="D243" s="203" t="s">
        <v>139</v>
      </c>
      <c r="E243" s="205" t="s">
        <v>140</v>
      </c>
      <c r="F243" s="160"/>
      <c r="G243" s="180" t="s">
        <v>725</v>
      </c>
      <c r="H243" s="170">
        <f>F246</f>
        <v>4</v>
      </c>
    </row>
    <row r="244" spans="1:8" s="137" customFormat="1" ht="12.75" customHeight="1">
      <c r="A244" s="98"/>
      <c r="B244" s="103"/>
      <c r="C244" s="202"/>
      <c r="D244" s="203"/>
      <c r="E244" s="110" t="s">
        <v>420</v>
      </c>
      <c r="F244" s="160">
        <v>2</v>
      </c>
      <c r="G244" s="206"/>
      <c r="H244" s="170"/>
    </row>
    <row r="245" spans="1:8" s="137" customFormat="1" ht="12.75" customHeight="1">
      <c r="A245" s="98"/>
      <c r="B245" s="103"/>
      <c r="C245" s="202"/>
      <c r="D245" s="203"/>
      <c r="E245" s="110" t="s">
        <v>421</v>
      </c>
      <c r="F245" s="184">
        <v>2</v>
      </c>
      <c r="G245" s="206"/>
      <c r="H245" s="170"/>
    </row>
    <row r="246" spans="1:8" s="137" customFormat="1" ht="12.75" customHeight="1">
      <c r="A246" s="98"/>
      <c r="B246" s="103"/>
      <c r="C246" s="202"/>
      <c r="D246" s="203"/>
      <c r="E246" s="110"/>
      <c r="F246" s="160">
        <f>SUM(F244:F245)</f>
        <v>4</v>
      </c>
      <c r="G246" s="206"/>
      <c r="H246" s="170"/>
    </row>
    <row r="247" spans="1:8" s="137" customFormat="1" ht="12.75" customHeight="1">
      <c r="A247" s="199"/>
      <c r="B247" s="103" t="s">
        <v>689</v>
      </c>
      <c r="C247" s="104" t="s">
        <v>141</v>
      </c>
      <c r="D247" s="97"/>
      <c r="E247" s="98" t="s">
        <v>142</v>
      </c>
      <c r="F247" s="160"/>
      <c r="G247" s="168" t="s">
        <v>723</v>
      </c>
      <c r="H247" s="159">
        <f>H248</f>
        <v>49.66</v>
      </c>
    </row>
    <row r="248" spans="1:8" s="137" customFormat="1" ht="12.75" customHeight="1">
      <c r="A248" s="98"/>
      <c r="B248" s="103"/>
      <c r="C248" s="202"/>
      <c r="D248" s="203" t="s">
        <v>422</v>
      </c>
      <c r="E248" s="205" t="s">
        <v>423</v>
      </c>
      <c r="F248" s="160"/>
      <c r="G248" s="180" t="s">
        <v>723</v>
      </c>
      <c r="H248" s="170">
        <f>ROUND(F252,2)</f>
        <v>49.66</v>
      </c>
    </row>
    <row r="249" spans="1:8" s="137" customFormat="1" ht="12.75" customHeight="1">
      <c r="A249" s="98"/>
      <c r="B249" s="103"/>
      <c r="C249" s="202"/>
      <c r="D249" s="203"/>
      <c r="E249" s="110" t="s">
        <v>424</v>
      </c>
      <c r="F249" s="160">
        <f>(0.32+0.14+0.08)*(20.66+15.5)</f>
        <v>19.53</v>
      </c>
      <c r="G249" s="202"/>
      <c r="H249" s="159"/>
    </row>
    <row r="250" spans="1:8" s="137" customFormat="1" ht="12.75" customHeight="1">
      <c r="A250" s="98"/>
      <c r="B250" s="103"/>
      <c r="C250" s="202"/>
      <c r="D250" s="203"/>
      <c r="E250" s="110" t="s">
        <v>425</v>
      </c>
      <c r="F250" s="160">
        <f>0.4*(0.8+1.56+0.46+0.8)*1.02</f>
        <v>1.48</v>
      </c>
      <c r="G250" s="202"/>
      <c r="H250" s="159"/>
    </row>
    <row r="251" spans="1:8" s="137" customFormat="1" ht="12.75" customHeight="1">
      <c r="A251" s="98"/>
      <c r="B251" s="103"/>
      <c r="C251" s="202"/>
      <c r="D251" s="203"/>
      <c r="E251" s="110" t="s">
        <v>426</v>
      </c>
      <c r="F251" s="184">
        <f>0.25*(57.5+53.86+3.23)</f>
        <v>28.65</v>
      </c>
      <c r="G251" s="202"/>
      <c r="H251" s="159"/>
    </row>
    <row r="252" spans="1:8" s="137" customFormat="1" ht="12.75" customHeight="1">
      <c r="A252" s="98"/>
      <c r="B252" s="103"/>
      <c r="C252" s="104"/>
      <c r="D252" s="97"/>
      <c r="E252" s="110"/>
      <c r="F252" s="160">
        <f>SUM(F249:F251)</f>
        <v>49.66</v>
      </c>
      <c r="G252" s="207"/>
      <c r="H252" s="208"/>
    </row>
    <row r="253" spans="1:8" s="137" customFormat="1" ht="12.75" customHeight="1">
      <c r="A253" s="199"/>
      <c r="B253" s="103" t="s">
        <v>690</v>
      </c>
      <c r="C253" s="104" t="s">
        <v>143</v>
      </c>
      <c r="D253" s="97"/>
      <c r="E253" s="98" t="s">
        <v>144</v>
      </c>
      <c r="F253" s="160"/>
      <c r="G253" s="161" t="s">
        <v>724</v>
      </c>
      <c r="H253" s="159">
        <f>H254+H260+H266</f>
        <v>470.1</v>
      </c>
    </row>
    <row r="254" spans="1:8" s="137" customFormat="1" ht="12.75" customHeight="1">
      <c r="A254" s="98"/>
      <c r="B254" s="103"/>
      <c r="C254" s="104"/>
      <c r="D254" s="203" t="s">
        <v>427</v>
      </c>
      <c r="E254" s="205" t="s">
        <v>428</v>
      </c>
      <c r="F254" s="160"/>
      <c r="G254" s="169" t="s">
        <v>724</v>
      </c>
      <c r="H254" s="170">
        <f>ROUND(F259,2)</f>
        <v>147.13999999999999</v>
      </c>
    </row>
    <row r="255" spans="1:8" s="137" customFormat="1" ht="12.75" customHeight="1">
      <c r="A255" s="98"/>
      <c r="B255" s="103"/>
      <c r="C255" s="104"/>
      <c r="D255" s="97"/>
      <c r="E255" s="110" t="s">
        <v>429</v>
      </c>
      <c r="F255" s="160">
        <f>(31.88+0.27)+(37.5+0.25)</f>
        <v>69.900000000000006</v>
      </c>
      <c r="G255" s="161"/>
      <c r="H255" s="159"/>
    </row>
    <row r="256" spans="1:8" s="137" customFormat="1" ht="12.75" customHeight="1">
      <c r="A256" s="98"/>
      <c r="B256" s="103"/>
      <c r="C256" s="104"/>
      <c r="D256" s="97"/>
      <c r="E256" s="110" t="s">
        <v>430</v>
      </c>
      <c r="F256" s="160">
        <f>20.66+15.5</f>
        <v>36.159999999999997</v>
      </c>
      <c r="G256" s="161"/>
      <c r="H256" s="159"/>
    </row>
    <row r="257" spans="1:8" s="137" customFormat="1" ht="12.75" customHeight="1">
      <c r="A257" s="98"/>
      <c r="B257" s="103"/>
      <c r="C257" s="104"/>
      <c r="D257" s="97"/>
      <c r="E257" s="110" t="s">
        <v>431</v>
      </c>
      <c r="F257" s="160">
        <f>2*1.15</f>
        <v>2.2999999999999998</v>
      </c>
      <c r="G257" s="161"/>
      <c r="H257" s="159"/>
    </row>
    <row r="258" spans="1:8" s="137" customFormat="1" ht="12.75" customHeight="1">
      <c r="A258" s="98"/>
      <c r="B258" s="103"/>
      <c r="C258" s="104"/>
      <c r="D258" s="97"/>
      <c r="E258" s="110" t="s">
        <v>432</v>
      </c>
      <c r="F258" s="184">
        <f>21.76+17.02</f>
        <v>38.78</v>
      </c>
      <c r="G258" s="161"/>
      <c r="H258" s="159"/>
    </row>
    <row r="259" spans="1:8" s="137" customFormat="1" ht="12.75" customHeight="1">
      <c r="A259" s="98"/>
      <c r="B259" s="103"/>
      <c r="C259" s="104"/>
      <c r="D259" s="97"/>
      <c r="E259" s="110" t="s">
        <v>433</v>
      </c>
      <c r="F259" s="160">
        <f>SUM(F255:F258)</f>
        <v>147.13999999999999</v>
      </c>
      <c r="G259" s="161"/>
      <c r="H259" s="159"/>
    </row>
    <row r="260" spans="1:8" s="137" customFormat="1" ht="12.75" customHeight="1">
      <c r="A260" s="98"/>
      <c r="B260" s="103"/>
      <c r="C260" s="104"/>
      <c r="D260" s="97" t="s">
        <v>434</v>
      </c>
      <c r="E260" s="110" t="s">
        <v>435</v>
      </c>
      <c r="F260" s="160"/>
      <c r="G260" s="169" t="s">
        <v>724</v>
      </c>
      <c r="H260" s="170">
        <f>ROUND(F265,2)</f>
        <v>284.5</v>
      </c>
    </row>
    <row r="261" spans="1:8" s="137" customFormat="1" ht="12.75" customHeight="1">
      <c r="A261" s="98"/>
      <c r="B261" s="103"/>
      <c r="C261" s="104"/>
      <c r="D261" s="177"/>
      <c r="E261" s="110" t="s">
        <v>436</v>
      </c>
      <c r="F261" s="160">
        <f>(0.8+1.56+0.46+0.8)*1.02</f>
        <v>3.69</v>
      </c>
      <c r="G261" s="180"/>
      <c r="H261" s="170"/>
    </row>
    <row r="262" spans="1:8" s="137" customFormat="1" ht="12.75" customHeight="1">
      <c r="A262" s="98"/>
      <c r="B262" s="103"/>
      <c r="C262" s="104"/>
      <c r="D262" s="177"/>
      <c r="E262" s="110" t="s">
        <v>437</v>
      </c>
      <c r="F262" s="160">
        <f>57.5+53.86+3.23</f>
        <v>114.59</v>
      </c>
      <c r="G262" s="180"/>
      <c r="H262" s="170"/>
    </row>
    <row r="263" spans="1:8" s="137" customFormat="1" ht="12.75" customHeight="1">
      <c r="A263" s="98"/>
      <c r="B263" s="103"/>
      <c r="C263" s="104"/>
      <c r="D263" s="177"/>
      <c r="E263" s="110" t="s">
        <v>438</v>
      </c>
      <c r="F263" s="160">
        <f>2*51.01</f>
        <v>102.02</v>
      </c>
      <c r="G263" s="180"/>
      <c r="H263" s="170"/>
    </row>
    <row r="264" spans="1:8" s="137" customFormat="1" ht="12.75" customHeight="1">
      <c r="A264" s="98"/>
      <c r="B264" s="103"/>
      <c r="C264" s="104"/>
      <c r="D264" s="177"/>
      <c r="E264" s="110" t="s">
        <v>439</v>
      </c>
      <c r="F264" s="171">
        <f>(35.2+29)</f>
        <v>64.2</v>
      </c>
      <c r="G264" s="180"/>
      <c r="H264" s="170"/>
    </row>
    <row r="265" spans="1:8" s="137" customFormat="1" ht="12.75" customHeight="1">
      <c r="A265" s="98"/>
      <c r="B265" s="103"/>
      <c r="C265" s="104"/>
      <c r="D265" s="177"/>
      <c r="E265" s="110"/>
      <c r="F265" s="160">
        <f>SUM(F261:F264)</f>
        <v>284.5</v>
      </c>
      <c r="G265" s="180"/>
      <c r="H265" s="170"/>
    </row>
    <row r="266" spans="1:8" s="137" customFormat="1" ht="12.75" customHeight="1">
      <c r="A266" s="98"/>
      <c r="B266" s="103"/>
      <c r="C266" s="104"/>
      <c r="D266" s="177" t="s">
        <v>440</v>
      </c>
      <c r="E266" s="178" t="s">
        <v>441</v>
      </c>
      <c r="F266" s="182"/>
      <c r="G266" s="180" t="s">
        <v>724</v>
      </c>
      <c r="H266" s="170">
        <f>ROUND(F270,2)</f>
        <v>38.46</v>
      </c>
    </row>
    <row r="267" spans="1:8" s="137" customFormat="1" ht="12.75" customHeight="1">
      <c r="A267" s="98"/>
      <c r="B267" s="103"/>
      <c r="C267" s="104"/>
      <c r="D267" s="177"/>
      <c r="E267" s="110" t="s">
        <v>442</v>
      </c>
      <c r="F267" s="182"/>
      <c r="G267" s="180"/>
      <c r="H267" s="170"/>
    </row>
    <row r="268" spans="1:8" s="137" customFormat="1" ht="12.75" customHeight="1">
      <c r="A268" s="98"/>
      <c r="B268" s="103"/>
      <c r="C268" s="104"/>
      <c r="D268" s="177"/>
      <c r="E268" s="110" t="s">
        <v>443</v>
      </c>
      <c r="F268" s="160">
        <f>20.66+15.5</f>
        <v>36.159999999999997</v>
      </c>
      <c r="G268" s="180"/>
      <c r="H268" s="170"/>
    </row>
    <row r="269" spans="1:8" s="137" customFormat="1" ht="12.75" customHeight="1">
      <c r="A269" s="98"/>
      <c r="B269" s="103"/>
      <c r="C269" s="104"/>
      <c r="D269" s="177"/>
      <c r="E269" s="110" t="s">
        <v>431</v>
      </c>
      <c r="F269" s="184">
        <f>2*1.15</f>
        <v>2.2999999999999998</v>
      </c>
      <c r="G269" s="180"/>
      <c r="H269" s="170"/>
    </row>
    <row r="270" spans="1:8" s="137" customFormat="1" ht="12.75" customHeight="1">
      <c r="A270" s="98"/>
      <c r="B270" s="103"/>
      <c r="C270" s="104"/>
      <c r="D270" s="177"/>
      <c r="E270" s="110"/>
      <c r="F270" s="160">
        <f>SUM(F267:F269)</f>
        <v>38.46</v>
      </c>
      <c r="G270" s="180"/>
      <c r="H270" s="170"/>
    </row>
    <row r="271" spans="1:8" s="137" customFormat="1" ht="12.75" customHeight="1">
      <c r="A271" s="199"/>
      <c r="B271" s="103" t="s">
        <v>691</v>
      </c>
      <c r="C271" s="209" t="s">
        <v>145</v>
      </c>
      <c r="D271" s="97"/>
      <c r="E271" s="98" t="s">
        <v>146</v>
      </c>
      <c r="F271" s="160"/>
      <c r="G271" s="161" t="s">
        <v>725</v>
      </c>
      <c r="H271" s="159">
        <f>H272</f>
        <v>6</v>
      </c>
    </row>
    <row r="272" spans="1:8" s="137" customFormat="1" ht="12.75" customHeight="1">
      <c r="A272" s="98"/>
      <c r="B272" s="103"/>
      <c r="C272" s="104"/>
      <c r="D272" s="177" t="s">
        <v>145</v>
      </c>
      <c r="E272" s="110" t="s">
        <v>146</v>
      </c>
      <c r="F272" s="160"/>
      <c r="G272" s="169" t="s">
        <v>725</v>
      </c>
      <c r="H272" s="170">
        <f>F273</f>
        <v>6</v>
      </c>
    </row>
    <row r="273" spans="1:8" s="137" customFormat="1" ht="28.2" customHeight="1">
      <c r="A273" s="98"/>
      <c r="B273" s="103"/>
      <c r="C273" s="104"/>
      <c r="D273" s="97"/>
      <c r="E273" s="110" t="s">
        <v>444</v>
      </c>
      <c r="F273" s="160">
        <f>4+2</f>
        <v>6</v>
      </c>
      <c r="G273" s="169"/>
      <c r="H273" s="170"/>
    </row>
    <row r="274" spans="1:8" s="137" customFormat="1" ht="12.75" customHeight="1">
      <c r="A274" s="199"/>
      <c r="B274" s="103" t="s">
        <v>692</v>
      </c>
      <c r="C274" s="209" t="s">
        <v>147</v>
      </c>
      <c r="D274" s="97"/>
      <c r="E274" s="98" t="s">
        <v>148</v>
      </c>
      <c r="F274" s="160"/>
      <c r="G274" s="161" t="s">
        <v>724</v>
      </c>
      <c r="H274" s="159">
        <f>H275</f>
        <v>275.89</v>
      </c>
    </row>
    <row r="275" spans="1:8" s="137" customFormat="1" ht="12.75" customHeight="1">
      <c r="A275" s="98"/>
      <c r="B275" s="103"/>
      <c r="C275" s="104"/>
      <c r="D275" s="177" t="s">
        <v>147</v>
      </c>
      <c r="E275" s="110" t="s">
        <v>148</v>
      </c>
      <c r="F275" s="160"/>
      <c r="G275" s="169" t="s">
        <v>724</v>
      </c>
      <c r="H275" s="170">
        <f>ROUND(F279,2)</f>
        <v>275.89</v>
      </c>
    </row>
    <row r="276" spans="1:8" s="137" customFormat="1" ht="12.75" customHeight="1">
      <c r="A276" s="98"/>
      <c r="B276" s="103"/>
      <c r="C276" s="104"/>
      <c r="D276" s="97"/>
      <c r="E276" s="110" t="s">
        <v>445</v>
      </c>
      <c r="F276" s="160">
        <f>1617*0.11</f>
        <v>177.87</v>
      </c>
      <c r="G276" s="169"/>
      <c r="H276" s="170"/>
    </row>
    <row r="277" spans="1:8" s="137" customFormat="1" ht="12.75" customHeight="1">
      <c r="A277" s="98"/>
      <c r="B277" s="103"/>
      <c r="C277" s="104"/>
      <c r="D277" s="97"/>
      <c r="E277" s="110" t="s">
        <v>446</v>
      </c>
      <c r="F277" s="160">
        <f>(218+156)*0.23</f>
        <v>86.02</v>
      </c>
      <c r="G277" s="169"/>
      <c r="H277" s="170"/>
    </row>
    <row r="278" spans="1:8" s="137" customFormat="1" ht="12.75" customHeight="1">
      <c r="A278" s="98"/>
      <c r="B278" s="103"/>
      <c r="C278" s="104"/>
      <c r="D278" s="97"/>
      <c r="E278" s="110" t="s">
        <v>447</v>
      </c>
      <c r="F278" s="171">
        <f>2*30*0.2</f>
        <v>12</v>
      </c>
      <c r="G278" s="169"/>
      <c r="H278" s="170"/>
    </row>
    <row r="279" spans="1:8" s="137" customFormat="1" ht="12.75" customHeight="1">
      <c r="A279" s="98"/>
      <c r="B279" s="103"/>
      <c r="C279" s="104"/>
      <c r="D279" s="97"/>
      <c r="E279" s="110"/>
      <c r="F279" s="160">
        <f>SUM(F276:F278)</f>
        <v>275.89</v>
      </c>
      <c r="G279" s="169"/>
      <c r="H279" s="170"/>
    </row>
    <row r="280" spans="1:8" s="137" customFormat="1" ht="12.75" customHeight="1">
      <c r="A280" s="199"/>
      <c r="B280" s="103" t="s">
        <v>693</v>
      </c>
      <c r="C280" s="209" t="s">
        <v>149</v>
      </c>
      <c r="D280" s="97"/>
      <c r="E280" s="98" t="s">
        <v>150</v>
      </c>
      <c r="F280" s="160"/>
      <c r="G280" s="161" t="s">
        <v>723</v>
      </c>
      <c r="H280" s="159">
        <f>H281</f>
        <v>127.52</v>
      </c>
    </row>
    <row r="281" spans="1:8" s="137" customFormat="1" ht="12.75" customHeight="1">
      <c r="A281" s="98"/>
      <c r="B281" s="103"/>
      <c r="C281" s="104"/>
      <c r="D281" s="177" t="s">
        <v>149</v>
      </c>
      <c r="E281" s="110" t="s">
        <v>150</v>
      </c>
      <c r="F281" s="160"/>
      <c r="G281" s="169" t="s">
        <v>723</v>
      </c>
      <c r="H281" s="170">
        <f>ROUND(F284,2)</f>
        <v>127.52</v>
      </c>
    </row>
    <row r="282" spans="1:8" s="137" customFormat="1" ht="29.4" customHeight="1">
      <c r="A282" s="98"/>
      <c r="B282" s="103"/>
      <c r="C282" s="104"/>
      <c r="D282" s="97"/>
      <c r="E282" s="110" t="s">
        <v>448</v>
      </c>
      <c r="F282" s="160">
        <f>0.1*(571.31+673.33+2*0.6*13.2)</f>
        <v>126.05</v>
      </c>
      <c r="G282" s="169"/>
      <c r="H282" s="170"/>
    </row>
    <row r="283" spans="1:8" s="137" customFormat="1" ht="28.8" customHeight="1">
      <c r="A283" s="98"/>
      <c r="B283" s="103"/>
      <c r="C283" s="104"/>
      <c r="D283" s="97"/>
      <c r="E283" s="110" t="s">
        <v>449</v>
      </c>
      <c r="F283" s="184">
        <f>0.079*(32+44)*0.24*1.02</f>
        <v>1.47</v>
      </c>
      <c r="G283" s="169"/>
      <c r="H283" s="170"/>
    </row>
    <row r="284" spans="1:8" s="137" customFormat="1" ht="12.75" customHeight="1">
      <c r="A284" s="188"/>
      <c r="B284" s="103"/>
      <c r="C284" s="96"/>
      <c r="D284" s="97"/>
      <c r="E284" s="110"/>
      <c r="F284" s="160">
        <f>SUM(F282:F283)</f>
        <v>127.52</v>
      </c>
      <c r="G284" s="210"/>
      <c r="H284" s="100"/>
    </row>
    <row r="285" spans="1:8" s="137" customFormat="1" ht="12.75" customHeight="1">
      <c r="A285" s="188" t="s">
        <v>152</v>
      </c>
      <c r="B285" s="103"/>
      <c r="C285" s="96"/>
      <c r="D285" s="97"/>
      <c r="E285" s="211" t="s">
        <v>450</v>
      </c>
      <c r="F285" s="99"/>
      <c r="G285" s="210"/>
      <c r="H285" s="100"/>
    </row>
    <row r="286" spans="1:8" s="137" customFormat="1" ht="12.75" customHeight="1">
      <c r="A286" s="98"/>
      <c r="B286" s="103" t="s">
        <v>694</v>
      </c>
      <c r="C286" s="104" t="s">
        <v>153</v>
      </c>
      <c r="D286" s="97"/>
      <c r="E286" s="98" t="s">
        <v>154</v>
      </c>
      <c r="F286" s="160"/>
      <c r="G286" s="161" t="s">
        <v>723</v>
      </c>
      <c r="H286" s="159">
        <f>H287+H289</f>
        <v>997.86</v>
      </c>
    </row>
    <row r="287" spans="1:8" s="137" customFormat="1" ht="12.75" customHeight="1">
      <c r="A287" s="98"/>
      <c r="B287" s="103"/>
      <c r="C287" s="104"/>
      <c r="D287" s="97" t="s">
        <v>451</v>
      </c>
      <c r="E287" s="110" t="s">
        <v>452</v>
      </c>
      <c r="F287" s="160"/>
      <c r="G287" s="169" t="s">
        <v>723</v>
      </c>
      <c r="H287" s="170">
        <f>ROUND(F288,2)</f>
        <v>288.25</v>
      </c>
    </row>
    <row r="288" spans="1:8" s="137" customFormat="1" ht="12.75" customHeight="1">
      <c r="A288" s="98"/>
      <c r="B288" s="103"/>
      <c r="C288" s="104"/>
      <c r="D288" s="97"/>
      <c r="E288" s="110" t="s">
        <v>453</v>
      </c>
      <c r="F288" s="160">
        <f>(138.28+136.24)*1.05</f>
        <v>288.25</v>
      </c>
      <c r="G288" s="161"/>
      <c r="H288" s="159"/>
    </row>
    <row r="289" spans="1:8" s="137" customFormat="1" ht="12.75" customHeight="1">
      <c r="A289" s="98"/>
      <c r="B289" s="103"/>
      <c r="C289" s="104"/>
      <c r="D289" s="97" t="s">
        <v>454</v>
      </c>
      <c r="E289" s="110" t="s">
        <v>455</v>
      </c>
      <c r="F289" s="160"/>
      <c r="G289" s="169" t="s">
        <v>723</v>
      </c>
      <c r="H289" s="170">
        <f>ROUND(F292,2)</f>
        <v>709.61</v>
      </c>
    </row>
    <row r="290" spans="1:8" s="137" customFormat="1" ht="12.75" customHeight="1">
      <c r="A290" s="98"/>
      <c r="B290" s="103"/>
      <c r="C290" s="104"/>
      <c r="D290" s="97"/>
      <c r="E290" s="110" t="s">
        <v>456</v>
      </c>
      <c r="F290" s="160">
        <f>(68.84+87.19)*1.05</f>
        <v>163.83000000000001</v>
      </c>
      <c r="G290" s="161"/>
      <c r="H290" s="159"/>
    </row>
    <row r="291" spans="1:8" s="137" customFormat="1" ht="12.75" customHeight="1">
      <c r="A291" s="98"/>
      <c r="B291" s="103"/>
      <c r="C291" s="104"/>
      <c r="D291" s="97"/>
      <c r="E291" s="110" t="s">
        <v>457</v>
      </c>
      <c r="F291" s="184">
        <f>(245.27+138.28+136.24)*1.05</f>
        <v>545.78</v>
      </c>
      <c r="G291" s="161"/>
      <c r="H291" s="159"/>
    </row>
    <row r="292" spans="1:8" s="137" customFormat="1" ht="12.75" customHeight="1">
      <c r="A292" s="98"/>
      <c r="B292" s="103"/>
      <c r="C292" s="104"/>
      <c r="D292" s="97"/>
      <c r="E292" s="110"/>
      <c r="F292" s="160">
        <f>SUM(F290:F291)</f>
        <v>709.61</v>
      </c>
      <c r="G292" s="161"/>
      <c r="H292" s="159"/>
    </row>
    <row r="293" spans="1:8" s="137" customFormat="1" ht="12.75" customHeight="1">
      <c r="A293" s="98"/>
      <c r="B293" s="103"/>
      <c r="C293" s="104"/>
      <c r="D293" s="97"/>
      <c r="E293" s="110"/>
      <c r="F293" s="160"/>
      <c r="G293" s="161"/>
      <c r="H293" s="159"/>
    </row>
    <row r="294" spans="1:8" s="137" customFormat="1" ht="12.75" customHeight="1">
      <c r="A294" s="98"/>
      <c r="B294" s="103"/>
      <c r="C294" s="104"/>
      <c r="D294" s="97"/>
      <c r="E294" s="110" t="s">
        <v>458</v>
      </c>
      <c r="F294" s="160"/>
      <c r="G294" s="161"/>
      <c r="H294" s="159"/>
    </row>
    <row r="295" spans="1:8" s="137" customFormat="1" ht="12.75" customHeight="1">
      <c r="A295" s="98"/>
      <c r="B295" s="103"/>
      <c r="C295" s="104"/>
      <c r="D295" s="97"/>
      <c r="E295" s="110" t="s">
        <v>459</v>
      </c>
      <c r="F295" s="160">
        <f>84.8*(16-2*0.02)*1.05</f>
        <v>1421.08</v>
      </c>
      <c r="G295" s="161"/>
      <c r="H295" s="159"/>
    </row>
    <row r="296" spans="1:8" s="137" customFormat="1" ht="12.75" customHeight="1">
      <c r="A296" s="98"/>
      <c r="B296" s="103"/>
      <c r="C296" s="104"/>
      <c r="D296" s="97"/>
      <c r="E296" s="110" t="s">
        <v>460</v>
      </c>
      <c r="F296" s="171">
        <f>84.8*(16-2*0.02)*1.05</f>
        <v>1421.08</v>
      </c>
      <c r="G296" s="161"/>
      <c r="H296" s="159"/>
    </row>
    <row r="297" spans="1:8" s="137" customFormat="1" ht="12.75" customHeight="1">
      <c r="A297" s="98"/>
      <c r="B297" s="103"/>
      <c r="C297" s="104"/>
      <c r="D297" s="97"/>
      <c r="E297" s="110"/>
      <c r="F297" s="160">
        <f>SUM(F295:F296)</f>
        <v>2842.16</v>
      </c>
      <c r="G297" s="161"/>
      <c r="H297" s="159"/>
    </row>
    <row r="298" spans="1:8" s="137" customFormat="1" ht="12.75" customHeight="1">
      <c r="A298" s="98"/>
      <c r="B298" s="103"/>
      <c r="C298" s="104"/>
      <c r="D298" s="97"/>
      <c r="E298" s="173" t="s">
        <v>461</v>
      </c>
      <c r="F298" s="160">
        <f>F289+F297</f>
        <v>2842.16</v>
      </c>
      <c r="G298" s="161"/>
      <c r="H298" s="159"/>
    </row>
    <row r="299" spans="1:8" s="137" customFormat="1" ht="12.75" customHeight="1">
      <c r="A299" s="98"/>
      <c r="B299" s="103" t="s">
        <v>695</v>
      </c>
      <c r="C299" s="164" t="s">
        <v>155</v>
      </c>
      <c r="D299" s="165"/>
      <c r="E299" s="166" t="s">
        <v>156</v>
      </c>
      <c r="F299" s="174"/>
      <c r="G299" s="161" t="s">
        <v>722</v>
      </c>
      <c r="H299" s="159">
        <f>H300+H302</f>
        <v>42.94</v>
      </c>
    </row>
    <row r="300" spans="1:8" s="137" customFormat="1" ht="12.75" customHeight="1">
      <c r="A300" s="98"/>
      <c r="B300" s="103"/>
      <c r="C300" s="104"/>
      <c r="D300" s="177" t="s">
        <v>462</v>
      </c>
      <c r="E300" s="178" t="s">
        <v>463</v>
      </c>
      <c r="F300" s="182"/>
      <c r="G300" s="169" t="s">
        <v>722</v>
      </c>
      <c r="H300" s="170">
        <f>ROUND(F301,2)</f>
        <v>23.06</v>
      </c>
    </row>
    <row r="301" spans="1:8" s="137" customFormat="1" ht="12.75" customHeight="1">
      <c r="A301" s="98"/>
      <c r="B301" s="103"/>
      <c r="C301" s="104"/>
      <c r="D301" s="97"/>
      <c r="E301" s="110" t="s">
        <v>464</v>
      </c>
      <c r="F301" s="160">
        <f>274.52*0.08*1.05</f>
        <v>23.06</v>
      </c>
      <c r="G301" s="161"/>
      <c r="H301" s="170"/>
    </row>
    <row r="302" spans="1:8" s="137" customFormat="1" ht="12.75" customHeight="1">
      <c r="A302" s="98"/>
      <c r="B302" s="103"/>
      <c r="C302" s="104"/>
      <c r="D302" s="177" t="s">
        <v>465</v>
      </c>
      <c r="E302" s="178" t="s">
        <v>466</v>
      </c>
      <c r="F302" s="182"/>
      <c r="G302" s="169" t="s">
        <v>722</v>
      </c>
      <c r="H302" s="170">
        <f>ROUND(F305,2)</f>
        <v>19.88</v>
      </c>
    </row>
    <row r="303" spans="1:8" s="137" customFormat="1" ht="12.75" customHeight="1">
      <c r="A303" s="98"/>
      <c r="B303" s="103"/>
      <c r="C303" s="104"/>
      <c r="D303" s="97"/>
      <c r="E303" s="110" t="s">
        <v>467</v>
      </c>
      <c r="F303" s="160">
        <f>274.52*0.06*1.05</f>
        <v>17.29</v>
      </c>
      <c r="G303" s="161"/>
      <c r="H303" s="170"/>
    </row>
    <row r="304" spans="1:8" s="137" customFormat="1" ht="12.75" customHeight="1">
      <c r="A304" s="98"/>
      <c r="B304" s="103"/>
      <c r="C304" s="104"/>
      <c r="D304" s="97"/>
      <c r="E304" s="110" t="s">
        <v>468</v>
      </c>
      <c r="F304" s="192">
        <f>16.47*0.15*1.05</f>
        <v>2.59</v>
      </c>
      <c r="G304" s="161"/>
      <c r="H304" s="170"/>
    </row>
    <row r="305" spans="1:8" s="137" customFormat="1" ht="12.75" customHeight="1">
      <c r="A305" s="98"/>
      <c r="B305" s="103"/>
      <c r="C305" s="104"/>
      <c r="D305" s="97"/>
      <c r="E305" s="110"/>
      <c r="F305" s="160">
        <f>SUM(F303:F304)</f>
        <v>19.88</v>
      </c>
      <c r="G305" s="161"/>
      <c r="H305" s="170"/>
    </row>
    <row r="306" spans="1:8" s="137" customFormat="1" ht="12.75" customHeight="1">
      <c r="A306" s="98"/>
      <c r="B306" s="103" t="s">
        <v>696</v>
      </c>
      <c r="C306" s="164" t="s">
        <v>157</v>
      </c>
      <c r="D306" s="165"/>
      <c r="E306" s="166" t="s">
        <v>158</v>
      </c>
      <c r="F306" s="174"/>
      <c r="G306" s="161" t="s">
        <v>722</v>
      </c>
      <c r="H306" s="159">
        <f>H307</f>
        <v>28.38</v>
      </c>
    </row>
    <row r="307" spans="1:8" s="137" customFormat="1" ht="12.75" customHeight="1">
      <c r="A307" s="98"/>
      <c r="B307" s="103"/>
      <c r="C307" s="104"/>
      <c r="D307" s="177" t="s">
        <v>469</v>
      </c>
      <c r="E307" s="178" t="s">
        <v>470</v>
      </c>
      <c r="F307" s="182"/>
      <c r="G307" s="169" t="s">
        <v>722</v>
      </c>
      <c r="H307" s="170">
        <f>ROUND(F309,2)</f>
        <v>28.38</v>
      </c>
    </row>
    <row r="308" spans="1:8" s="137" customFormat="1" ht="12.75" customHeight="1">
      <c r="A308" s="98"/>
      <c r="B308" s="103"/>
      <c r="C308" s="104"/>
      <c r="D308" s="97"/>
      <c r="E308" s="110" t="s">
        <v>471</v>
      </c>
      <c r="F308" s="160"/>
      <c r="G308" s="161"/>
      <c r="H308" s="170"/>
    </row>
    <row r="309" spans="1:8" s="137" customFormat="1" ht="12.75" customHeight="1">
      <c r="A309" s="98"/>
      <c r="B309" s="103"/>
      <c r="C309" s="104"/>
      <c r="D309" s="97"/>
      <c r="E309" s="110" t="s">
        <v>472</v>
      </c>
      <c r="F309" s="192">
        <f>( 245.27+138.28+136.24+68.84+87.19)*0.04*1.05</f>
        <v>28.38</v>
      </c>
      <c r="G309" s="161"/>
      <c r="H309" s="170"/>
    </row>
    <row r="310" spans="1:8" s="137" customFormat="1" ht="12.75" customHeight="1">
      <c r="A310" s="98"/>
      <c r="B310" s="103" t="s">
        <v>697</v>
      </c>
      <c r="C310" s="164" t="s">
        <v>159</v>
      </c>
      <c r="D310" s="165"/>
      <c r="E310" s="166" t="s">
        <v>160</v>
      </c>
      <c r="F310" s="174"/>
      <c r="G310" s="161" t="s">
        <v>722</v>
      </c>
      <c r="H310" s="159">
        <f>H311</f>
        <v>0.26</v>
      </c>
    </row>
    <row r="311" spans="1:8" s="137" customFormat="1" ht="12.75" customHeight="1">
      <c r="A311" s="98"/>
      <c r="B311" s="103"/>
      <c r="C311" s="104"/>
      <c r="D311" s="177" t="s">
        <v>473</v>
      </c>
      <c r="E311" s="178" t="s">
        <v>474</v>
      </c>
      <c r="F311" s="182"/>
      <c r="G311" s="169" t="s">
        <v>722</v>
      </c>
      <c r="H311" s="170">
        <f>ROUND(F313,2)</f>
        <v>0.26</v>
      </c>
    </row>
    <row r="312" spans="1:8" s="137" customFormat="1" ht="28.2" customHeight="1">
      <c r="A312" s="98"/>
      <c r="B312" s="103"/>
      <c r="C312" s="104"/>
      <c r="D312" s="97"/>
      <c r="E312" s="110" t="s">
        <v>475</v>
      </c>
      <c r="F312" s="192"/>
      <c r="G312" s="161"/>
      <c r="H312" s="159"/>
    </row>
    <row r="313" spans="1:8" s="137" customFormat="1" ht="12.75" customHeight="1">
      <c r="A313" s="98"/>
      <c r="B313" s="103"/>
      <c r="C313" s="104"/>
      <c r="D313" s="97"/>
      <c r="E313" s="110" t="s">
        <v>476</v>
      </c>
      <c r="F313" s="192">
        <f>0.1*0.045*(33.11+22.75)*1.05</f>
        <v>0.26</v>
      </c>
      <c r="G313" s="161"/>
      <c r="H313" s="159"/>
    </row>
    <row r="314" spans="1:8" s="137" customFormat="1" ht="12.75" customHeight="1">
      <c r="A314" s="212"/>
      <c r="B314" s="103" t="s">
        <v>698</v>
      </c>
      <c r="C314" s="164" t="s">
        <v>161</v>
      </c>
      <c r="D314" s="165"/>
      <c r="E314" s="166" t="s">
        <v>162</v>
      </c>
      <c r="F314" s="167"/>
      <c r="G314" s="168" t="s">
        <v>722</v>
      </c>
      <c r="H314" s="159">
        <f>H315</f>
        <v>11.58</v>
      </c>
    </row>
    <row r="315" spans="1:8" s="137" customFormat="1" ht="12.75" customHeight="1">
      <c r="A315" s="98"/>
      <c r="B315" s="103"/>
      <c r="C315" s="181"/>
      <c r="D315" s="177" t="s">
        <v>477</v>
      </c>
      <c r="E315" s="178" t="s">
        <v>478</v>
      </c>
      <c r="F315" s="179"/>
      <c r="G315" s="180" t="s">
        <v>722</v>
      </c>
      <c r="H315" s="170">
        <f>ROUND(F316,2)</f>
        <v>11.58</v>
      </c>
    </row>
    <row r="316" spans="1:8" s="137" customFormat="1" ht="12.75" customHeight="1">
      <c r="A316" s="98"/>
      <c r="B316" s="103"/>
      <c r="C316" s="104"/>
      <c r="D316" s="97"/>
      <c r="E316" s="110" t="s">
        <v>479</v>
      </c>
      <c r="F316" s="160">
        <f>245.13*0.045*1.05</f>
        <v>11.58</v>
      </c>
      <c r="G316" s="161"/>
      <c r="H316" s="159"/>
    </row>
    <row r="317" spans="1:8" s="137" customFormat="1" ht="12.75" customHeight="1">
      <c r="A317" s="212"/>
      <c r="B317" s="103" t="s">
        <v>699</v>
      </c>
      <c r="C317" s="164" t="s">
        <v>163</v>
      </c>
      <c r="D317" s="165"/>
      <c r="E317" s="166" t="s">
        <v>164</v>
      </c>
      <c r="F317" s="167"/>
      <c r="G317" s="168" t="s">
        <v>724</v>
      </c>
      <c r="H317" s="159">
        <f>H318</f>
        <v>114</v>
      </c>
    </row>
    <row r="318" spans="1:8" s="137" customFormat="1" ht="12.75" customHeight="1">
      <c r="A318" s="98"/>
      <c r="B318" s="103"/>
      <c r="C318" s="181"/>
      <c r="D318" s="177" t="s">
        <v>480</v>
      </c>
      <c r="E318" s="178" t="s">
        <v>481</v>
      </c>
      <c r="F318" s="179"/>
      <c r="G318" s="180" t="s">
        <v>724</v>
      </c>
      <c r="H318" s="170">
        <f>ROUND(F319,2)</f>
        <v>114</v>
      </c>
    </row>
    <row r="319" spans="1:8" s="137" customFormat="1" ht="12.75" customHeight="1">
      <c r="A319" s="98"/>
      <c r="B319" s="103"/>
      <c r="C319" s="104"/>
      <c r="D319" s="97"/>
      <c r="E319" s="110" t="s">
        <v>482</v>
      </c>
      <c r="F319" s="160">
        <f>11*4+12+13+11+16+18</f>
        <v>114</v>
      </c>
      <c r="G319" s="161"/>
      <c r="H319" s="159"/>
    </row>
    <row r="320" spans="1:8" s="137" customFormat="1" ht="12.75" customHeight="1">
      <c r="A320" s="98"/>
      <c r="B320" s="103" t="s">
        <v>700</v>
      </c>
      <c r="C320" s="164" t="s">
        <v>165</v>
      </c>
      <c r="D320" s="165"/>
      <c r="E320" s="166" t="s">
        <v>166</v>
      </c>
      <c r="F320" s="167"/>
      <c r="G320" s="168" t="s">
        <v>724</v>
      </c>
      <c r="H320" s="159">
        <f>H321</f>
        <v>30.73</v>
      </c>
    </row>
    <row r="321" spans="1:8" s="137" customFormat="1" ht="12.75" customHeight="1">
      <c r="A321" s="98"/>
      <c r="B321" s="103"/>
      <c r="C321" s="181"/>
      <c r="D321" s="177" t="s">
        <v>483</v>
      </c>
      <c r="E321" s="178" t="s">
        <v>484</v>
      </c>
      <c r="F321" s="179"/>
      <c r="G321" s="180" t="s">
        <v>724</v>
      </c>
      <c r="H321" s="170">
        <f>ROUND(F324,2)</f>
        <v>30.73</v>
      </c>
    </row>
    <row r="322" spans="1:8" s="137" customFormat="1" ht="12.75" customHeight="1">
      <c r="A322" s="98"/>
      <c r="B322" s="103"/>
      <c r="C322" s="104"/>
      <c r="D322" s="97"/>
      <c r="E322" s="110" t="s">
        <v>485</v>
      </c>
      <c r="F322" s="160">
        <f>12.8+12.04</f>
        <v>24.84</v>
      </c>
      <c r="G322" s="161"/>
      <c r="H322" s="159"/>
    </row>
    <row r="323" spans="1:8" s="137" customFormat="1" ht="16.2" customHeight="1">
      <c r="A323" s="98"/>
      <c r="B323" s="103"/>
      <c r="C323" s="104"/>
      <c r="D323" s="97"/>
      <c r="E323" s="110" t="s">
        <v>486</v>
      </c>
      <c r="F323" s="184">
        <f>2.14+3.75</f>
        <v>5.89</v>
      </c>
      <c r="G323" s="161"/>
      <c r="H323" s="159"/>
    </row>
    <row r="324" spans="1:8" s="137" customFormat="1" ht="12.75" customHeight="1">
      <c r="A324" s="98"/>
      <c r="B324" s="103"/>
      <c r="C324" s="104"/>
      <c r="D324" s="97"/>
      <c r="E324" s="110"/>
      <c r="F324" s="160">
        <f>SUM(F322:F323)</f>
        <v>30.73</v>
      </c>
      <c r="G324" s="161"/>
      <c r="H324" s="159"/>
    </row>
    <row r="325" spans="1:8" s="137" customFormat="1" ht="12.75" customHeight="1">
      <c r="A325" s="98"/>
      <c r="B325" s="103" t="s">
        <v>701</v>
      </c>
      <c r="C325" s="164" t="s">
        <v>167</v>
      </c>
      <c r="D325" s="165"/>
      <c r="E325" s="166" t="s">
        <v>168</v>
      </c>
      <c r="F325" s="167"/>
      <c r="G325" s="168" t="s">
        <v>724</v>
      </c>
      <c r="H325" s="159">
        <f>H326</f>
        <v>63.22</v>
      </c>
    </row>
    <row r="326" spans="1:8" s="137" customFormat="1" ht="12.75" customHeight="1">
      <c r="A326" s="98"/>
      <c r="B326" s="103"/>
      <c r="C326" s="181"/>
      <c r="D326" s="177" t="s">
        <v>487</v>
      </c>
      <c r="E326" s="178" t="s">
        <v>488</v>
      </c>
      <c r="F326" s="179"/>
      <c r="G326" s="180" t="s">
        <v>724</v>
      </c>
      <c r="H326" s="170">
        <f>ROUND(F327,2)</f>
        <v>63.22</v>
      </c>
    </row>
    <row r="327" spans="1:8" s="137" customFormat="1" ht="12.75" customHeight="1">
      <c r="A327" s="98"/>
      <c r="B327" s="103"/>
      <c r="C327" s="104"/>
      <c r="D327" s="97"/>
      <c r="E327" s="110" t="s">
        <v>489</v>
      </c>
      <c r="F327" s="160">
        <f xml:space="preserve"> (12-4.1)+20+(12-3.68)+27</f>
        <v>63.22</v>
      </c>
      <c r="G327" s="161"/>
      <c r="H327" s="159"/>
    </row>
    <row r="328" spans="1:8" s="137" customFormat="1" ht="12.75" customHeight="1">
      <c r="A328" s="98"/>
      <c r="B328" s="103"/>
      <c r="C328" s="104"/>
      <c r="D328" s="97"/>
      <c r="E328" s="110" t="s">
        <v>490</v>
      </c>
      <c r="F328" s="160"/>
      <c r="G328" s="161"/>
      <c r="H328" s="159"/>
    </row>
    <row r="329" spans="1:8" s="137" customFormat="1" ht="12.75" customHeight="1">
      <c r="A329" s="98"/>
      <c r="B329" s="103" t="s">
        <v>702</v>
      </c>
      <c r="C329" s="164" t="s">
        <v>169</v>
      </c>
      <c r="D329" s="165"/>
      <c r="E329" s="166" t="s">
        <v>170</v>
      </c>
      <c r="F329" s="167"/>
      <c r="G329" s="168" t="s">
        <v>725</v>
      </c>
      <c r="H329" s="159">
        <f>H330</f>
        <v>10</v>
      </c>
    </row>
    <row r="330" spans="1:8" s="137" customFormat="1" ht="12.75" customHeight="1">
      <c r="A330" s="98"/>
      <c r="B330" s="103"/>
      <c r="C330" s="181"/>
      <c r="D330" s="177" t="s">
        <v>169</v>
      </c>
      <c r="E330" s="178" t="s">
        <v>170</v>
      </c>
      <c r="F330" s="179"/>
      <c r="G330" s="180" t="s">
        <v>725</v>
      </c>
      <c r="H330" s="170">
        <f>F331</f>
        <v>10</v>
      </c>
    </row>
    <row r="331" spans="1:8" s="137" customFormat="1" ht="12.75" customHeight="1">
      <c r="A331" s="98"/>
      <c r="B331" s="103"/>
      <c r="C331" s="104"/>
      <c r="D331" s="97"/>
      <c r="E331" s="110" t="s">
        <v>491</v>
      </c>
      <c r="F331" s="160">
        <v>10</v>
      </c>
      <c r="G331" s="161"/>
      <c r="H331" s="159"/>
    </row>
    <row r="332" spans="1:8" s="137" customFormat="1" ht="12.75" customHeight="1">
      <c r="A332" s="98"/>
      <c r="B332" s="103" t="s">
        <v>703</v>
      </c>
      <c r="C332" s="164" t="s">
        <v>171</v>
      </c>
      <c r="D332" s="165"/>
      <c r="E332" s="166" t="s">
        <v>172</v>
      </c>
      <c r="F332" s="167"/>
      <c r="G332" s="168" t="s">
        <v>725</v>
      </c>
      <c r="H332" s="159">
        <f>(+H333)</f>
        <v>4</v>
      </c>
    </row>
    <row r="333" spans="1:8" s="137" customFormat="1" ht="12.75" customHeight="1">
      <c r="A333" s="98"/>
      <c r="B333" s="103"/>
      <c r="C333" s="181"/>
      <c r="D333" s="177" t="s">
        <v>492</v>
      </c>
      <c r="E333" s="178" t="s">
        <v>493</v>
      </c>
      <c r="F333" s="179"/>
      <c r="G333" s="180" t="s">
        <v>725</v>
      </c>
      <c r="H333" s="170">
        <f>F334</f>
        <v>4</v>
      </c>
    </row>
    <row r="334" spans="1:8" s="137" customFormat="1" ht="12.75" customHeight="1">
      <c r="A334" s="98"/>
      <c r="B334" s="103"/>
      <c r="C334" s="104"/>
      <c r="D334" s="97"/>
      <c r="E334" s="110" t="s">
        <v>494</v>
      </c>
      <c r="F334" s="160">
        <v>4</v>
      </c>
      <c r="G334" s="161"/>
      <c r="H334" s="159"/>
    </row>
    <row r="335" spans="1:8" s="137" customFormat="1" ht="12.75" customHeight="1">
      <c r="A335" s="98"/>
      <c r="B335" s="213">
        <v>70</v>
      </c>
      <c r="C335" s="164" t="s">
        <v>173</v>
      </c>
      <c r="D335" s="165"/>
      <c r="E335" s="166" t="s">
        <v>174</v>
      </c>
      <c r="F335" s="167"/>
      <c r="G335" s="168" t="s">
        <v>724</v>
      </c>
      <c r="H335" s="159">
        <f>H336</f>
        <v>5.5</v>
      </c>
    </row>
    <row r="336" spans="1:8" s="137" customFormat="1" ht="12.75" customHeight="1">
      <c r="A336" s="98"/>
      <c r="B336" s="103"/>
      <c r="C336" s="181"/>
      <c r="D336" s="177" t="s">
        <v>495</v>
      </c>
      <c r="E336" s="178" t="s">
        <v>496</v>
      </c>
      <c r="F336" s="179"/>
      <c r="G336" s="180" t="s">
        <v>724</v>
      </c>
      <c r="H336" s="170">
        <f>F337</f>
        <v>5.5</v>
      </c>
    </row>
    <row r="337" spans="1:9" s="137" customFormat="1" ht="12.75" customHeight="1">
      <c r="A337" s="98"/>
      <c r="B337" s="103"/>
      <c r="C337" s="104"/>
      <c r="D337" s="97"/>
      <c r="E337" s="110" t="s">
        <v>497</v>
      </c>
      <c r="F337" s="160">
        <f>5*1.1</f>
        <v>5.5</v>
      </c>
      <c r="G337" s="161"/>
      <c r="H337" s="159"/>
    </row>
    <row r="338" spans="1:9" s="137" customFormat="1" ht="12.75" customHeight="1">
      <c r="A338" s="188" t="s">
        <v>176</v>
      </c>
      <c r="B338" s="103"/>
      <c r="C338" s="104"/>
      <c r="D338" s="97"/>
      <c r="E338" s="98" t="s">
        <v>498</v>
      </c>
      <c r="F338" s="160"/>
      <c r="G338" s="180"/>
      <c r="H338" s="170"/>
    </row>
    <row r="339" spans="1:9" s="137" customFormat="1" ht="12.75" customHeight="1">
      <c r="A339" s="98"/>
      <c r="B339" s="213">
        <v>80</v>
      </c>
      <c r="C339" s="164" t="s">
        <v>177</v>
      </c>
      <c r="D339" s="165"/>
      <c r="E339" s="166" t="s">
        <v>178</v>
      </c>
      <c r="F339" s="167"/>
      <c r="G339" s="168" t="s">
        <v>722</v>
      </c>
      <c r="H339" s="159">
        <f>H340</f>
        <v>72.47</v>
      </c>
    </row>
    <row r="340" spans="1:9" s="214" customFormat="1" ht="12.75" customHeight="1">
      <c r="A340" s="191"/>
      <c r="B340" s="103"/>
      <c r="C340" s="181"/>
      <c r="D340" s="177" t="s">
        <v>177</v>
      </c>
      <c r="E340" s="178" t="s">
        <v>178</v>
      </c>
      <c r="F340" s="182"/>
      <c r="G340" s="180" t="s">
        <v>722</v>
      </c>
      <c r="H340" s="170">
        <f>ROUND(F341,2)</f>
        <v>72.47</v>
      </c>
    </row>
    <row r="341" spans="1:9" s="214" customFormat="1" ht="12.75" customHeight="1">
      <c r="A341" s="110"/>
      <c r="B341" s="103"/>
      <c r="C341" s="104"/>
      <c r="D341" s="177"/>
      <c r="E341" s="110" t="s">
        <v>499</v>
      </c>
      <c r="F341" s="160">
        <f>(138.28+136.24)*0.24*1.1</f>
        <v>72.47</v>
      </c>
      <c r="G341" s="180"/>
      <c r="H341" s="170"/>
    </row>
    <row r="342" spans="1:9" s="214" customFormat="1" ht="12.75" customHeight="1">
      <c r="A342" s="188"/>
      <c r="B342" s="213">
        <v>81</v>
      </c>
      <c r="C342" s="164" t="s">
        <v>179</v>
      </c>
      <c r="D342" s="165"/>
      <c r="E342" s="166" t="s">
        <v>180</v>
      </c>
      <c r="F342" s="174"/>
      <c r="G342" s="168" t="s">
        <v>722</v>
      </c>
      <c r="H342" s="159">
        <f>H343</f>
        <v>7.58</v>
      </c>
    </row>
    <row r="343" spans="1:9" s="214" customFormat="1" ht="12.75" customHeight="1">
      <c r="A343" s="191"/>
      <c r="B343" s="103"/>
      <c r="C343" s="181"/>
      <c r="D343" s="177" t="s">
        <v>179</v>
      </c>
      <c r="E343" s="178" t="s">
        <v>180</v>
      </c>
      <c r="F343" s="182"/>
      <c r="G343" s="180" t="s">
        <v>722</v>
      </c>
      <c r="H343" s="170">
        <f>ROUND(F344,2)</f>
        <v>7.58</v>
      </c>
    </row>
    <row r="344" spans="1:9" s="214" customFormat="1" ht="28.8" customHeight="1">
      <c r="A344" s="110"/>
      <c r="B344" s="103"/>
      <c r="C344" s="104"/>
      <c r="D344" s="177"/>
      <c r="E344" s="110" t="s">
        <v>500</v>
      </c>
      <c r="F344" s="160">
        <f xml:space="preserve"> (5.5+27.7+26.22+9.53)*0.1*1.1</f>
        <v>7.58</v>
      </c>
      <c r="G344" s="180"/>
      <c r="H344" s="170"/>
    </row>
    <row r="345" spans="1:9" s="214" customFormat="1" ht="12.75" customHeight="1">
      <c r="A345" s="188"/>
      <c r="B345" s="213">
        <v>82</v>
      </c>
      <c r="C345" s="164" t="s">
        <v>181</v>
      </c>
      <c r="D345" s="165"/>
      <c r="E345" s="166" t="s">
        <v>182</v>
      </c>
      <c r="F345" s="174"/>
      <c r="G345" s="168" t="s">
        <v>722</v>
      </c>
      <c r="H345" s="159">
        <f>H346</f>
        <v>49.41</v>
      </c>
    </row>
    <row r="346" spans="1:9" s="214" customFormat="1" ht="12.75" customHeight="1">
      <c r="A346" s="191"/>
      <c r="B346" s="103"/>
      <c r="C346" s="181"/>
      <c r="D346" s="177" t="s">
        <v>181</v>
      </c>
      <c r="E346" s="178" t="s">
        <v>182</v>
      </c>
      <c r="F346" s="182"/>
      <c r="G346" s="180" t="s">
        <v>722</v>
      </c>
      <c r="H346" s="170">
        <f>ROUND(F347,2)</f>
        <v>49.41</v>
      </c>
    </row>
    <row r="347" spans="1:9" s="214" customFormat="1" ht="12.75" customHeight="1">
      <c r="A347" s="110"/>
      <c r="B347" s="103"/>
      <c r="C347" s="104"/>
      <c r="D347" s="177"/>
      <c r="E347" s="110" t="s">
        <v>501</v>
      </c>
      <c r="F347" s="160">
        <f>(138.28+136.24)*0.18</f>
        <v>49.41</v>
      </c>
      <c r="G347" s="180"/>
      <c r="H347" s="170"/>
    </row>
    <row r="348" spans="1:9" s="214" customFormat="1" ht="12.75" customHeight="1">
      <c r="A348" s="188"/>
      <c r="B348" s="213">
        <v>83</v>
      </c>
      <c r="C348" s="164" t="s">
        <v>183</v>
      </c>
      <c r="D348" s="165"/>
      <c r="E348" s="166" t="s">
        <v>502</v>
      </c>
      <c r="F348" s="174"/>
      <c r="G348" s="161" t="s">
        <v>723</v>
      </c>
      <c r="H348" s="159">
        <f>H349</f>
        <v>274.52</v>
      </c>
    </row>
    <row r="349" spans="1:9" s="214" customFormat="1" ht="12.75" customHeight="1">
      <c r="A349" s="191"/>
      <c r="B349" s="103"/>
      <c r="C349" s="181"/>
      <c r="D349" s="177" t="s">
        <v>503</v>
      </c>
      <c r="E349" s="178" t="s">
        <v>504</v>
      </c>
      <c r="F349" s="182"/>
      <c r="G349" s="169" t="s">
        <v>723</v>
      </c>
      <c r="H349" s="170">
        <f>ROUND(F350,2)</f>
        <v>274.52</v>
      </c>
    </row>
    <row r="350" spans="1:9" s="214" customFormat="1" ht="12.75" customHeight="1">
      <c r="A350" s="110"/>
      <c r="B350" s="103"/>
      <c r="C350" s="104"/>
      <c r="D350" s="177"/>
      <c r="E350" s="110" t="s">
        <v>505</v>
      </c>
      <c r="F350" s="160">
        <f>138.28+136.24</f>
        <v>274.52</v>
      </c>
      <c r="G350" s="180"/>
      <c r="H350" s="170"/>
    </row>
    <row r="351" spans="1:9" s="137" customFormat="1" ht="12.75" customHeight="1">
      <c r="A351" s="212" t="s">
        <v>186</v>
      </c>
      <c r="B351" s="103"/>
      <c r="C351" s="215"/>
      <c r="D351" s="165"/>
      <c r="E351" s="216" t="s">
        <v>506</v>
      </c>
      <c r="F351" s="99"/>
      <c r="G351" s="210"/>
      <c r="H351" s="100"/>
    </row>
    <row r="352" spans="1:9" s="137" customFormat="1" ht="12.75" customHeight="1">
      <c r="A352" s="188"/>
      <c r="B352" s="213">
        <v>84</v>
      </c>
      <c r="C352" s="164" t="s">
        <v>187</v>
      </c>
      <c r="D352" s="165"/>
      <c r="E352" s="166" t="s">
        <v>188</v>
      </c>
      <c r="F352" s="167"/>
      <c r="G352" s="168" t="s">
        <v>722</v>
      </c>
      <c r="H352" s="159">
        <f>H353</f>
        <v>5.25</v>
      </c>
      <c r="I352" s="217"/>
    </row>
    <row r="353" spans="1:9" s="137" customFormat="1" ht="12.75" customHeight="1">
      <c r="A353" s="98"/>
      <c r="B353" s="103"/>
      <c r="C353" s="181"/>
      <c r="D353" s="177" t="s">
        <v>507</v>
      </c>
      <c r="E353" s="178" t="s">
        <v>508</v>
      </c>
      <c r="F353" s="179"/>
      <c r="G353" s="180" t="s">
        <v>722</v>
      </c>
      <c r="H353" s="170">
        <f>ROUND(F354,2)</f>
        <v>5.25</v>
      </c>
      <c r="I353" s="217"/>
    </row>
    <row r="354" spans="1:9" s="214" customFormat="1" ht="12.75" customHeight="1">
      <c r="A354" s="110"/>
      <c r="B354" s="103"/>
      <c r="C354" s="104"/>
      <c r="D354" s="177"/>
      <c r="E354" s="110" t="s">
        <v>509</v>
      </c>
      <c r="F354" s="160">
        <f>0.854+(3.9+0.5)</f>
        <v>5.25</v>
      </c>
      <c r="G354" s="180"/>
      <c r="H354" s="170"/>
    </row>
    <row r="355" spans="1:9" s="137" customFormat="1" ht="12.75" customHeight="1">
      <c r="A355" s="212" t="s">
        <v>190</v>
      </c>
      <c r="B355" s="103"/>
      <c r="C355" s="215"/>
      <c r="D355" s="165"/>
      <c r="E355" s="166" t="s">
        <v>510</v>
      </c>
      <c r="F355" s="99"/>
      <c r="G355" s="210"/>
      <c r="H355" s="100"/>
    </row>
    <row r="356" spans="1:9" s="137" customFormat="1" ht="12.75" customHeight="1">
      <c r="A356" s="188"/>
      <c r="B356" s="213">
        <v>85</v>
      </c>
      <c r="C356" s="164" t="s">
        <v>191</v>
      </c>
      <c r="D356" s="165"/>
      <c r="E356" s="166" t="s">
        <v>192</v>
      </c>
      <c r="F356" s="174"/>
      <c r="G356" s="168" t="s">
        <v>722</v>
      </c>
      <c r="H356" s="159">
        <f>H357</f>
        <v>372.05</v>
      </c>
    </row>
    <row r="357" spans="1:9" s="137" customFormat="1" ht="12.75" customHeight="1">
      <c r="A357" s="98"/>
      <c r="B357" s="213"/>
      <c r="C357" s="104"/>
      <c r="D357" s="177" t="s">
        <v>511</v>
      </c>
      <c r="E357" s="197" t="s">
        <v>512</v>
      </c>
      <c r="F357" s="179"/>
      <c r="G357" s="198" t="s">
        <v>722</v>
      </c>
      <c r="H357" s="170">
        <f>ROUND(F360,2)</f>
        <v>372.05</v>
      </c>
    </row>
    <row r="358" spans="1:9" s="214" customFormat="1" ht="36.6" customHeight="1">
      <c r="A358" s="110"/>
      <c r="B358" s="103"/>
      <c r="C358" s="104"/>
      <c r="D358" s="177"/>
      <c r="E358" s="110" t="s">
        <v>513</v>
      </c>
      <c r="F358" s="160">
        <f>(2*(1.081+0.413)*(53.86+57.5)+11.5*0.25 + 0.462*3.274)*1.1</f>
        <v>370.84</v>
      </c>
      <c r="G358" s="180"/>
      <c r="H358" s="170"/>
    </row>
    <row r="359" spans="1:9" s="214" customFormat="1" ht="30" customHeight="1">
      <c r="A359" s="110"/>
      <c r="B359" s="103"/>
      <c r="C359" s="104"/>
      <c r="D359" s="177"/>
      <c r="E359" s="110" t="s">
        <v>514</v>
      </c>
      <c r="F359" s="171">
        <f>0.55*2.2</f>
        <v>1.21</v>
      </c>
      <c r="G359" s="180"/>
      <c r="H359" s="170"/>
    </row>
    <row r="360" spans="1:9" s="214" customFormat="1" ht="12.75" customHeight="1">
      <c r="A360" s="110"/>
      <c r="B360" s="103"/>
      <c r="C360" s="104"/>
      <c r="D360" s="177"/>
      <c r="E360" s="110"/>
      <c r="F360" s="160">
        <f>SUM(F358:F359)</f>
        <v>372.05</v>
      </c>
      <c r="G360" s="180"/>
      <c r="H360" s="170"/>
    </row>
    <row r="361" spans="1:9" s="137" customFormat="1" ht="12.75" customHeight="1">
      <c r="A361" s="188"/>
      <c r="B361" s="213">
        <v>86</v>
      </c>
      <c r="C361" s="164" t="s">
        <v>193</v>
      </c>
      <c r="D361" s="165"/>
      <c r="E361" s="166" t="s">
        <v>194</v>
      </c>
      <c r="F361" s="174"/>
      <c r="G361" s="168" t="s">
        <v>723</v>
      </c>
      <c r="H361" s="159">
        <f>H362</f>
        <v>8.14</v>
      </c>
    </row>
    <row r="362" spans="1:9" s="137" customFormat="1" ht="12.75" customHeight="1">
      <c r="A362" s="98"/>
      <c r="B362" s="213"/>
      <c r="C362" s="181"/>
      <c r="D362" s="177" t="s">
        <v>515</v>
      </c>
      <c r="E362" s="178" t="s">
        <v>516</v>
      </c>
      <c r="F362" s="182"/>
      <c r="G362" s="180" t="s">
        <v>723</v>
      </c>
      <c r="H362" s="170">
        <f>ROUND(F363,2)</f>
        <v>8.14</v>
      </c>
    </row>
    <row r="363" spans="1:9" s="137" customFormat="1" ht="12.75" customHeight="1">
      <c r="A363" s="98"/>
      <c r="B363" s="213"/>
      <c r="C363" s="104"/>
      <c r="D363" s="97"/>
      <c r="E363" s="110" t="s">
        <v>517</v>
      </c>
      <c r="F363" s="160">
        <f>(4*(1.081+0.413) + 3.85*0.25 + 0.462)*1.1</f>
        <v>8.14</v>
      </c>
      <c r="G363" s="161"/>
      <c r="H363" s="159"/>
    </row>
    <row r="364" spans="1:9" s="137" customFormat="1" ht="12.75" customHeight="1">
      <c r="A364" s="188"/>
      <c r="B364" s="213">
        <v>87</v>
      </c>
      <c r="C364" s="164" t="s">
        <v>195</v>
      </c>
      <c r="D364" s="165"/>
      <c r="E364" s="166" t="s">
        <v>196</v>
      </c>
      <c r="F364" s="167"/>
      <c r="G364" s="168" t="s">
        <v>721</v>
      </c>
      <c r="H364" s="159">
        <f>H365+H366</f>
        <v>4.51</v>
      </c>
    </row>
    <row r="365" spans="1:9" s="137" customFormat="1" ht="12.75" customHeight="1">
      <c r="A365" s="98"/>
      <c r="B365" s="213"/>
      <c r="C365" s="104"/>
      <c r="D365" s="177" t="s">
        <v>518</v>
      </c>
      <c r="E365" s="178" t="s">
        <v>519</v>
      </c>
      <c r="F365" s="179"/>
      <c r="G365" s="180" t="s">
        <v>721</v>
      </c>
      <c r="H365" s="170">
        <v>0.27</v>
      </c>
    </row>
    <row r="366" spans="1:9" s="137" customFormat="1" ht="12.75" customHeight="1">
      <c r="A366" s="98"/>
      <c r="B366" s="213"/>
      <c r="C366" s="104"/>
      <c r="D366" s="177" t="s">
        <v>520</v>
      </c>
      <c r="E366" s="178" t="s">
        <v>521</v>
      </c>
      <c r="F366" s="179"/>
      <c r="G366" s="180" t="s">
        <v>721</v>
      </c>
      <c r="H366" s="170">
        <v>4.24</v>
      </c>
    </row>
    <row r="367" spans="1:9" s="137" customFormat="1" ht="12.75" customHeight="1">
      <c r="A367" s="188"/>
      <c r="B367" s="213">
        <v>88</v>
      </c>
      <c r="C367" s="164" t="s">
        <v>197</v>
      </c>
      <c r="D367" s="165"/>
      <c r="E367" s="166" t="s">
        <v>198</v>
      </c>
      <c r="F367" s="167"/>
      <c r="G367" s="168" t="s">
        <v>723</v>
      </c>
      <c r="H367" s="159">
        <f>H368</f>
        <v>8.3000000000000007</v>
      </c>
    </row>
    <row r="368" spans="1:9" s="137" customFormat="1" ht="12.75" customHeight="1">
      <c r="A368" s="98"/>
      <c r="B368" s="213"/>
      <c r="C368" s="181"/>
      <c r="D368" s="177" t="s">
        <v>522</v>
      </c>
      <c r="E368" s="178" t="s">
        <v>523</v>
      </c>
      <c r="F368" s="179"/>
      <c r="G368" s="180" t="s">
        <v>723</v>
      </c>
      <c r="H368" s="170">
        <v>8.3000000000000007</v>
      </c>
    </row>
    <row r="369" spans="1:8" s="137" customFormat="1" ht="12.75" customHeight="1">
      <c r="A369" s="212" t="s">
        <v>200</v>
      </c>
      <c r="B369" s="103"/>
      <c r="C369" s="215"/>
      <c r="D369" s="165"/>
      <c r="E369" s="166" t="s">
        <v>524</v>
      </c>
      <c r="F369" s="99"/>
      <c r="G369" s="210"/>
      <c r="H369" s="100"/>
    </row>
    <row r="370" spans="1:8" s="137" customFormat="1" ht="12.75" customHeight="1">
      <c r="A370" s="188"/>
      <c r="B370" s="213">
        <v>89</v>
      </c>
      <c r="C370" s="164" t="s">
        <v>704</v>
      </c>
      <c r="D370" s="165"/>
      <c r="E370" s="166" t="s">
        <v>201</v>
      </c>
      <c r="F370" s="167"/>
      <c r="G370" s="168" t="s">
        <v>723</v>
      </c>
      <c r="H370" s="159">
        <f>H371+H376</f>
        <v>610.30999999999995</v>
      </c>
    </row>
    <row r="371" spans="1:8" s="137" customFormat="1" ht="12.75" customHeight="1">
      <c r="A371" s="188"/>
      <c r="B371" s="103"/>
      <c r="C371" s="181"/>
      <c r="D371" s="177" t="s">
        <v>705</v>
      </c>
      <c r="E371" s="178" t="s">
        <v>525</v>
      </c>
      <c r="F371" s="179"/>
      <c r="G371" s="180" t="s">
        <v>723</v>
      </c>
      <c r="H371" s="170">
        <f>ROUND(F375,2)</f>
        <v>275.08</v>
      </c>
    </row>
    <row r="372" spans="1:8" s="137" customFormat="1" ht="12.75" customHeight="1">
      <c r="A372" s="188"/>
      <c r="B372" s="103"/>
      <c r="C372" s="104"/>
      <c r="D372" s="97"/>
      <c r="E372" s="110" t="s">
        <v>526</v>
      </c>
      <c r="F372" s="160"/>
      <c r="G372" s="161"/>
      <c r="H372" s="159"/>
    </row>
    <row r="373" spans="1:8" s="137" customFormat="1" ht="12.75" customHeight="1">
      <c r="A373" s="188"/>
      <c r="B373" s="103"/>
      <c r="C373" s="104"/>
      <c r="D373" s="97"/>
      <c r="E373" s="110" t="s">
        <v>527</v>
      </c>
      <c r="F373" s="160">
        <f>78.08+63.15</f>
        <v>141.22999999999999</v>
      </c>
      <c r="G373" s="161"/>
      <c r="H373" s="159"/>
    </row>
    <row r="374" spans="1:8" s="137" customFormat="1" ht="12.75" customHeight="1">
      <c r="A374" s="188"/>
      <c r="B374" s="103"/>
      <c r="C374" s="104"/>
      <c r="D374" s="97"/>
      <c r="E374" s="110" t="s">
        <v>528</v>
      </c>
      <c r="F374" s="171">
        <f>1.22*((31.88+0.27)+(37.5+0.25))+1.84*(13.2+13.2)</f>
        <v>133.85</v>
      </c>
      <c r="G374" s="161"/>
      <c r="H374" s="159"/>
    </row>
    <row r="375" spans="1:8" s="137" customFormat="1" ht="12.75" customHeight="1">
      <c r="A375" s="188"/>
      <c r="B375" s="103"/>
      <c r="C375" s="104"/>
      <c r="D375" s="97"/>
      <c r="E375" s="110"/>
      <c r="F375" s="160">
        <f>SUM(F373:F374)</f>
        <v>275.08</v>
      </c>
      <c r="G375" s="161"/>
      <c r="H375" s="159"/>
    </row>
    <row r="376" spans="1:8" s="137" customFormat="1" ht="12.75" customHeight="1">
      <c r="A376" s="188"/>
      <c r="B376" s="103"/>
      <c r="C376" s="104"/>
      <c r="D376" s="177" t="s">
        <v>708</v>
      </c>
      <c r="E376" s="178" t="s">
        <v>529</v>
      </c>
      <c r="F376" s="179"/>
      <c r="G376" s="180" t="s">
        <v>723</v>
      </c>
      <c r="H376" s="170">
        <f>ROUND(F380,2)</f>
        <v>335.23</v>
      </c>
    </row>
    <row r="377" spans="1:8" s="137" customFormat="1" ht="29.4" customHeight="1">
      <c r="A377" s="188"/>
      <c r="B377" s="103"/>
      <c r="C377" s="104"/>
      <c r="D377" s="97"/>
      <c r="E377" s="110" t="s">
        <v>530</v>
      </c>
      <c r="F377" s="160">
        <f>((18.9+13.02+55.41) + (9.85+22.01+39.6) + ((3.9+2.5*1)+(9+2.12*1)+(1+0.8*1)) + (1.1+(2.2+1.3)+(2*0.5*(2.33+1.94)+2.38*0.75)))*1.02</f>
        <v>192.54</v>
      </c>
      <c r="G377" s="161"/>
      <c r="H377" s="159"/>
    </row>
    <row r="378" spans="1:8" s="137" customFormat="1" ht="28.8" customHeight="1">
      <c r="A378" s="188"/>
      <c r="B378" s="103"/>
      <c r="C378" s="104"/>
      <c r="D378" s="97"/>
      <c r="E378" s="110" t="s">
        <v>531</v>
      </c>
      <c r="F378" s="160">
        <f>(2*1.1*51.01 + 1.1*(2.5+3.07+4.5+2))*1.02</f>
        <v>128.01</v>
      </c>
      <c r="G378" s="161"/>
      <c r="H378" s="159"/>
    </row>
    <row r="379" spans="1:8" s="137" customFormat="1" ht="12.75" customHeight="1">
      <c r="A379" s="188"/>
      <c r="B379" s="103"/>
      <c r="C379" s="104"/>
      <c r="D379" s="97"/>
      <c r="E379" s="110" t="s">
        <v>532</v>
      </c>
      <c r="F379" s="171">
        <f>0.271*(28.75+25.42)</f>
        <v>14.68</v>
      </c>
      <c r="G379" s="161"/>
      <c r="H379" s="159"/>
    </row>
    <row r="380" spans="1:8" s="137" customFormat="1" ht="12.75" customHeight="1">
      <c r="A380" s="188"/>
      <c r="B380" s="103"/>
      <c r="C380" s="104"/>
      <c r="D380" s="97"/>
      <c r="E380" s="110"/>
      <c r="F380" s="160">
        <f>SUM(F377:F379)</f>
        <v>335.23</v>
      </c>
      <c r="G380" s="161"/>
      <c r="H380" s="159"/>
    </row>
    <row r="381" spans="1:8" s="137" customFormat="1" ht="12.75" customHeight="1">
      <c r="A381" s="188"/>
      <c r="B381" s="213">
        <v>90</v>
      </c>
      <c r="C381" s="164" t="s">
        <v>706</v>
      </c>
      <c r="D381" s="97"/>
      <c r="E381" s="98" t="s">
        <v>202</v>
      </c>
      <c r="F381" s="160"/>
      <c r="G381" s="161" t="s">
        <v>723</v>
      </c>
      <c r="H381" s="159">
        <f>H382+H386</f>
        <v>383.42</v>
      </c>
    </row>
    <row r="382" spans="1:8" s="137" customFormat="1" ht="12.75" customHeight="1">
      <c r="A382" s="191"/>
      <c r="B382" s="103"/>
      <c r="C382" s="104"/>
      <c r="D382" s="129">
        <v>6101010201</v>
      </c>
      <c r="E382" s="110" t="s">
        <v>533</v>
      </c>
      <c r="F382" s="160"/>
      <c r="G382" s="169" t="s">
        <v>723</v>
      </c>
      <c r="H382" s="170">
        <f>ROUND(F385,2)</f>
        <v>381.26</v>
      </c>
    </row>
    <row r="383" spans="1:8" s="137" customFormat="1" ht="12.75" customHeight="1">
      <c r="A383" s="188"/>
      <c r="B383" s="103"/>
      <c r="C383" s="104"/>
      <c r="D383" s="97"/>
      <c r="E383" s="110" t="s">
        <v>534</v>
      </c>
      <c r="F383" s="160">
        <f>245.13+0.95*(34+38)+0.8*2*13.2</f>
        <v>334.65</v>
      </c>
      <c r="G383" s="161"/>
      <c r="H383" s="159"/>
    </row>
    <row r="384" spans="1:8" s="137" customFormat="1" ht="12.75" customHeight="1">
      <c r="A384" s="98"/>
      <c r="B384" s="103"/>
      <c r="C384" s="104"/>
      <c r="D384" s="97"/>
      <c r="E384" s="110" t="s">
        <v>535</v>
      </c>
      <c r="F384" s="171">
        <f>1.27*(20.7+16)</f>
        <v>46.61</v>
      </c>
      <c r="G384" s="169"/>
      <c r="H384" s="170"/>
    </row>
    <row r="385" spans="1:8" s="137" customFormat="1" ht="12.75" customHeight="1">
      <c r="A385" s="98"/>
      <c r="B385" s="103"/>
      <c r="C385" s="104"/>
      <c r="D385" s="97"/>
      <c r="E385" s="110"/>
      <c r="F385" s="160">
        <f>SUM(F383:F384)</f>
        <v>381.26</v>
      </c>
      <c r="G385" s="161"/>
      <c r="H385" s="170"/>
    </row>
    <row r="386" spans="1:8" s="137" customFormat="1" ht="12.75" customHeight="1">
      <c r="A386" s="188"/>
      <c r="B386" s="103"/>
      <c r="C386" s="104"/>
      <c r="D386" s="124" t="s">
        <v>709</v>
      </c>
      <c r="E386" s="178" t="s">
        <v>536</v>
      </c>
      <c r="F386" s="179"/>
      <c r="G386" s="180" t="s">
        <v>723</v>
      </c>
      <c r="H386" s="170">
        <f>ROUND(F387,2)</f>
        <v>2.16</v>
      </c>
    </row>
    <row r="387" spans="1:8" s="137" customFormat="1" ht="12.75" customHeight="1">
      <c r="A387" s="98"/>
      <c r="B387" s="103"/>
      <c r="C387" s="104"/>
      <c r="D387" s="97"/>
      <c r="E387" s="110" t="s">
        <v>537</v>
      </c>
      <c r="F387" s="160">
        <f>0.7*0.7*4*1.1</f>
        <v>2.16</v>
      </c>
      <c r="G387" s="169"/>
      <c r="H387" s="170"/>
    </row>
    <row r="388" spans="1:8" s="137" customFormat="1" ht="12.75" customHeight="1">
      <c r="A388" s="188"/>
      <c r="B388" s="213">
        <v>91</v>
      </c>
      <c r="C388" s="164" t="s">
        <v>707</v>
      </c>
      <c r="D388" s="165"/>
      <c r="E388" s="166" t="s">
        <v>203</v>
      </c>
      <c r="F388" s="167"/>
      <c r="G388" s="168" t="s">
        <v>723</v>
      </c>
      <c r="H388" s="159">
        <f>H389+H393</f>
        <v>923.24</v>
      </c>
    </row>
    <row r="389" spans="1:8" s="137" customFormat="1" ht="12.75" customHeight="1">
      <c r="A389" s="98"/>
      <c r="B389" s="103"/>
      <c r="C389" s="181"/>
      <c r="D389" s="177" t="s">
        <v>710</v>
      </c>
      <c r="E389" s="178" t="s">
        <v>538</v>
      </c>
      <c r="F389" s="179"/>
      <c r="G389" s="180" t="s">
        <v>723</v>
      </c>
      <c r="H389" s="170">
        <f>ROUND(F392,2)</f>
        <v>386.69</v>
      </c>
    </row>
    <row r="390" spans="1:8" s="137" customFormat="1" ht="28.8" customHeight="1">
      <c r="A390" s="98"/>
      <c r="B390" s="103"/>
      <c r="C390" s="104"/>
      <c r="D390" s="97"/>
      <c r="E390" s="110" t="s">
        <v>539</v>
      </c>
      <c r="F390" s="160">
        <f>(((29.31+1)*1.85+21.7*4.7)+((15.51+1)*4.2+(35.5+1)*1.9)+1.5*(2.2+1.3))*1.05</f>
        <v>317.11</v>
      </c>
      <c r="G390" s="169"/>
      <c r="H390" s="170"/>
    </row>
    <row r="391" spans="1:8" s="137" customFormat="1" ht="29.4" customHeight="1">
      <c r="A391" s="98"/>
      <c r="B391" s="103"/>
      <c r="C391" s="104"/>
      <c r="D391" s="97"/>
      <c r="E391" s="110" t="s">
        <v>540</v>
      </c>
      <c r="F391" s="171">
        <f>2*0.62*51.01*1.1</f>
        <v>69.58</v>
      </c>
      <c r="G391" s="169"/>
      <c r="H391" s="170"/>
    </row>
    <row r="392" spans="1:8" s="137" customFormat="1" ht="12.75" customHeight="1">
      <c r="A392" s="188"/>
      <c r="B392" s="103"/>
      <c r="C392" s="104"/>
      <c r="D392" s="97"/>
      <c r="E392" s="110"/>
      <c r="F392" s="160">
        <f>SUM(F390:F391)</f>
        <v>386.69</v>
      </c>
      <c r="G392" s="161"/>
      <c r="H392" s="159"/>
    </row>
    <row r="393" spans="1:8" s="137" customFormat="1" ht="12.75" customHeight="1">
      <c r="A393" s="188"/>
      <c r="B393" s="103"/>
      <c r="C393" s="104"/>
      <c r="D393" s="177" t="s">
        <v>711</v>
      </c>
      <c r="E393" s="178" t="s">
        <v>536</v>
      </c>
      <c r="F393" s="179"/>
      <c r="G393" s="180" t="s">
        <v>723</v>
      </c>
      <c r="H393" s="170">
        <f>ROUND(F396,2)</f>
        <v>536.54999999999995</v>
      </c>
    </row>
    <row r="394" spans="1:8" s="137" customFormat="1" ht="29.4" customHeight="1">
      <c r="A394" s="188"/>
      <c r="B394" s="103"/>
      <c r="C394" s="104"/>
      <c r="D394" s="97"/>
      <c r="E394" s="110" t="s">
        <v>541</v>
      </c>
      <c r="F394" s="160">
        <f>((46.35+25.5)+(27+29) + 1*(2.2+1.3))*1.05</f>
        <v>137.91999999999999</v>
      </c>
      <c r="G394" s="161"/>
      <c r="H394" s="159"/>
    </row>
    <row r="395" spans="1:8" s="137" customFormat="1" ht="12.75" customHeight="1">
      <c r="A395" s="188"/>
      <c r="B395" s="103"/>
      <c r="C395" s="104"/>
      <c r="D395" s="97"/>
      <c r="E395" s="110" t="s">
        <v>542</v>
      </c>
      <c r="F395" s="171">
        <f>214.64+146.54+0.12*(35.2+29)+0.5*(26.5+33)</f>
        <v>398.63</v>
      </c>
      <c r="G395" s="161"/>
      <c r="H395" s="159"/>
    </row>
    <row r="396" spans="1:8" s="137" customFormat="1" ht="12.75" customHeight="1">
      <c r="A396" s="98"/>
      <c r="B396" s="103"/>
      <c r="C396" s="104"/>
      <c r="D396" s="97"/>
      <c r="E396" s="173"/>
      <c r="F396" s="160">
        <f>SUM(F394:F395)</f>
        <v>536.54999999999995</v>
      </c>
      <c r="G396" s="169"/>
      <c r="H396" s="170"/>
    </row>
    <row r="397" spans="1:8" s="137" customFormat="1" ht="12.75" customHeight="1">
      <c r="A397" s="188" t="s">
        <v>205</v>
      </c>
      <c r="B397" s="103"/>
      <c r="C397" s="104"/>
      <c r="D397" s="97"/>
      <c r="E397" s="98" t="s">
        <v>543</v>
      </c>
      <c r="F397" s="160"/>
      <c r="G397" s="161"/>
      <c r="H397" s="170"/>
    </row>
    <row r="398" spans="1:8" s="137" customFormat="1" ht="12.75" customHeight="1">
      <c r="A398" s="188"/>
      <c r="B398" s="213">
        <v>92</v>
      </c>
      <c r="C398" s="164" t="s">
        <v>206</v>
      </c>
      <c r="D398" s="165"/>
      <c r="E398" s="166" t="s">
        <v>207</v>
      </c>
      <c r="F398" s="167"/>
      <c r="G398" s="168" t="s">
        <v>724</v>
      </c>
      <c r="H398" s="159">
        <f>H399+H403</f>
        <v>115.15</v>
      </c>
    </row>
    <row r="399" spans="1:8" s="137" customFormat="1" ht="12.75" customHeight="1">
      <c r="A399" s="188"/>
      <c r="B399" s="103"/>
      <c r="C399" s="104"/>
      <c r="D399" s="177" t="s">
        <v>544</v>
      </c>
      <c r="E399" s="178" t="s">
        <v>545</v>
      </c>
      <c r="F399" s="179"/>
      <c r="G399" s="180" t="s">
        <v>724</v>
      </c>
      <c r="H399" s="170">
        <f>ROUND(F402,2)</f>
        <v>46.79</v>
      </c>
    </row>
    <row r="400" spans="1:8" s="137" customFormat="1" ht="12.75" customHeight="1">
      <c r="A400" s="188"/>
      <c r="B400" s="103"/>
      <c r="C400" s="104"/>
      <c r="D400" s="97"/>
      <c r="E400" s="110" t="s">
        <v>546</v>
      </c>
      <c r="F400" s="160">
        <f>(1.1*23.1)+(18+2)</f>
        <v>45.41</v>
      </c>
      <c r="G400" s="161"/>
      <c r="H400" s="159"/>
    </row>
    <row r="401" spans="1:8" s="137" customFormat="1" ht="31.2" customHeight="1">
      <c r="A401" s="188"/>
      <c r="B401" s="103"/>
      <c r="C401" s="104"/>
      <c r="D401" s="97"/>
      <c r="E401" s="110" t="s">
        <v>547</v>
      </c>
      <c r="F401" s="171">
        <v>1.38</v>
      </c>
      <c r="G401" s="161"/>
      <c r="H401" s="159"/>
    </row>
    <row r="402" spans="1:8" s="137" customFormat="1" ht="12.75" customHeight="1">
      <c r="A402" s="188"/>
      <c r="B402" s="103"/>
      <c r="C402" s="104"/>
      <c r="D402" s="97"/>
      <c r="E402" s="110"/>
      <c r="F402" s="160">
        <f>SUM(F400:F401)</f>
        <v>46.79</v>
      </c>
      <c r="G402" s="161"/>
      <c r="H402" s="159"/>
    </row>
    <row r="403" spans="1:8" s="137" customFormat="1" ht="12.75" customHeight="1">
      <c r="A403" s="188"/>
      <c r="B403" s="103"/>
      <c r="C403" s="104"/>
      <c r="D403" s="177" t="s">
        <v>548</v>
      </c>
      <c r="E403" s="178" t="s">
        <v>549</v>
      </c>
      <c r="F403" s="179"/>
      <c r="G403" s="180" t="s">
        <v>724</v>
      </c>
      <c r="H403" s="170">
        <f>ROUND(F406,2)</f>
        <v>68.36</v>
      </c>
    </row>
    <row r="404" spans="1:8" s="137" customFormat="1" ht="12.75" customHeight="1">
      <c r="A404" s="188"/>
      <c r="B404" s="103"/>
      <c r="C404" s="104"/>
      <c r="D404" s="97"/>
      <c r="E404" s="110" t="s">
        <v>550</v>
      </c>
      <c r="F404" s="160">
        <f>(27.5+2) + (34+2)</f>
        <v>65.5</v>
      </c>
      <c r="G404" s="161"/>
      <c r="H404" s="159"/>
    </row>
    <row r="405" spans="1:8" s="137" customFormat="1" ht="30" customHeight="1">
      <c r="A405" s="188"/>
      <c r="B405" s="103"/>
      <c r="C405" s="104"/>
      <c r="D405" s="97"/>
      <c r="E405" s="110" t="s">
        <v>551</v>
      </c>
      <c r="F405" s="171">
        <f>(1.3+1.3)*1.1</f>
        <v>2.86</v>
      </c>
      <c r="G405" s="161"/>
      <c r="H405" s="159"/>
    </row>
    <row r="406" spans="1:8" s="137" customFormat="1" ht="12.75" customHeight="1">
      <c r="A406" s="188"/>
      <c r="B406" s="103"/>
      <c r="C406" s="104"/>
      <c r="D406" s="177"/>
      <c r="E406" s="178"/>
      <c r="F406" s="160">
        <f>SUM(F404:F405)</f>
        <v>68.36</v>
      </c>
      <c r="G406" s="180"/>
      <c r="H406" s="170"/>
    </row>
    <row r="407" spans="1:8" s="137" customFormat="1" ht="12.75" customHeight="1">
      <c r="A407" s="188"/>
      <c r="B407" s="213">
        <v>93</v>
      </c>
      <c r="C407" s="164" t="s">
        <v>208</v>
      </c>
      <c r="D407" s="165"/>
      <c r="E407" s="166" t="s">
        <v>209</v>
      </c>
      <c r="F407" s="167"/>
      <c r="G407" s="168" t="s">
        <v>723</v>
      </c>
      <c r="H407" s="159">
        <f>H408</f>
        <v>19.27</v>
      </c>
    </row>
    <row r="408" spans="1:8" s="137" customFormat="1" ht="12.75" customHeight="1">
      <c r="A408" s="98"/>
      <c r="B408" s="103"/>
      <c r="C408" s="104"/>
      <c r="D408" s="177" t="s">
        <v>208</v>
      </c>
      <c r="E408" s="178" t="s">
        <v>209</v>
      </c>
      <c r="F408" s="160"/>
      <c r="G408" s="180" t="s">
        <v>723</v>
      </c>
      <c r="H408" s="170">
        <f>F409</f>
        <v>19.27</v>
      </c>
    </row>
    <row r="409" spans="1:8" s="137" customFormat="1" ht="12.75" customHeight="1">
      <c r="A409" s="98"/>
      <c r="B409" s="103"/>
      <c r="C409" s="104"/>
      <c r="D409" s="97"/>
      <c r="E409" s="110" t="s">
        <v>552</v>
      </c>
      <c r="F409" s="160">
        <f>4.1*4.7</f>
        <v>19.27</v>
      </c>
      <c r="G409" s="169"/>
      <c r="H409" s="170"/>
    </row>
    <row r="410" spans="1:8" s="137" customFormat="1" ht="12.75" customHeight="1">
      <c r="A410" s="98" t="s">
        <v>211</v>
      </c>
      <c r="B410" s="103"/>
      <c r="C410" s="96"/>
      <c r="D410" s="97"/>
      <c r="E410" s="98" t="s">
        <v>553</v>
      </c>
      <c r="F410" s="99"/>
      <c r="G410" s="210"/>
      <c r="H410" s="100"/>
    </row>
    <row r="411" spans="1:8" s="137" customFormat="1" ht="12.75" customHeight="1">
      <c r="A411" s="188"/>
      <c r="B411" s="213">
        <v>94</v>
      </c>
      <c r="C411" s="164" t="s">
        <v>212</v>
      </c>
      <c r="D411" s="165"/>
      <c r="E411" s="166" t="s">
        <v>213</v>
      </c>
      <c r="F411" s="167"/>
      <c r="G411" s="168" t="s">
        <v>722</v>
      </c>
      <c r="H411" s="159">
        <f>H412</f>
        <v>1.21</v>
      </c>
    </row>
    <row r="412" spans="1:8" s="137" customFormat="1" ht="12.75" customHeight="1">
      <c r="A412" s="98"/>
      <c r="B412" s="103"/>
      <c r="C412" s="104"/>
      <c r="D412" s="177" t="s">
        <v>554</v>
      </c>
      <c r="E412" s="197" t="s">
        <v>555</v>
      </c>
      <c r="F412" s="179"/>
      <c r="G412" s="218" t="s">
        <v>722</v>
      </c>
      <c r="H412" s="170">
        <f>ROUND(F413,2)</f>
        <v>1.21</v>
      </c>
    </row>
    <row r="413" spans="1:8" s="137" customFormat="1" ht="12.75" customHeight="1">
      <c r="A413" s="98"/>
      <c r="B413" s="103"/>
      <c r="C413" s="104"/>
      <c r="D413" s="97"/>
      <c r="E413" s="110" t="s">
        <v>556</v>
      </c>
      <c r="F413" s="160">
        <f>(0.39*(0.908+0.727)+2.38*0.5*0.39)*1.1</f>
        <v>1.21</v>
      </c>
      <c r="G413" s="169"/>
      <c r="H413" s="170"/>
    </row>
    <row r="414" spans="1:8" s="137" customFormat="1" ht="12.75" customHeight="1">
      <c r="A414" s="188"/>
      <c r="B414" s="213">
        <v>95</v>
      </c>
      <c r="C414" s="164" t="s">
        <v>214</v>
      </c>
      <c r="D414" s="165"/>
      <c r="E414" s="166" t="s">
        <v>215</v>
      </c>
      <c r="F414" s="167"/>
      <c r="G414" s="168" t="s">
        <v>723</v>
      </c>
      <c r="H414" s="159">
        <f>H415</f>
        <v>6.82</v>
      </c>
    </row>
    <row r="415" spans="1:8" s="137" customFormat="1" ht="12.75" customHeight="1">
      <c r="A415" s="98"/>
      <c r="B415" s="103"/>
      <c r="C415" s="181"/>
      <c r="D415" s="177" t="s">
        <v>557</v>
      </c>
      <c r="E415" s="178" t="s">
        <v>558</v>
      </c>
      <c r="F415" s="179"/>
      <c r="G415" s="180" t="s">
        <v>723</v>
      </c>
      <c r="H415" s="170">
        <f>ROUND(F416,2)</f>
        <v>6.82</v>
      </c>
    </row>
    <row r="416" spans="1:8" s="137" customFormat="1" ht="12.75" customHeight="1">
      <c r="A416" s="98"/>
      <c r="B416" s="103"/>
      <c r="C416" s="104"/>
      <c r="D416" s="97"/>
      <c r="E416" s="110" t="s">
        <v>559</v>
      </c>
      <c r="F416" s="160">
        <f>2*((0.908+0.727)+(2.38*0.5)+(0.2*0.39)+(0.39*0.5))*1.1</f>
        <v>6.82</v>
      </c>
      <c r="G416" s="169"/>
      <c r="H416" s="170"/>
    </row>
    <row r="417" spans="1:8" s="137" customFormat="1" ht="12.75" customHeight="1">
      <c r="A417" s="188"/>
      <c r="B417" s="213">
        <v>96</v>
      </c>
      <c r="C417" s="164" t="s">
        <v>216</v>
      </c>
      <c r="D417" s="165"/>
      <c r="E417" s="166" t="s">
        <v>217</v>
      </c>
      <c r="F417" s="167"/>
      <c r="G417" s="168" t="s">
        <v>721</v>
      </c>
      <c r="H417" s="159">
        <f>H418+H419</f>
        <v>0.31</v>
      </c>
    </row>
    <row r="418" spans="1:8" s="137" customFormat="1" ht="12.75" customHeight="1">
      <c r="A418" s="98"/>
      <c r="B418" s="103"/>
      <c r="C418" s="104"/>
      <c r="D418" s="177" t="s">
        <v>560</v>
      </c>
      <c r="E418" s="178" t="s">
        <v>561</v>
      </c>
      <c r="F418" s="160"/>
      <c r="G418" s="180" t="s">
        <v>721</v>
      </c>
      <c r="H418" s="170">
        <v>7.0000000000000007E-2</v>
      </c>
    </row>
    <row r="419" spans="1:8" s="137" customFormat="1" ht="12.75" customHeight="1">
      <c r="A419" s="98"/>
      <c r="B419" s="103"/>
      <c r="C419" s="104"/>
      <c r="D419" s="177" t="s">
        <v>562</v>
      </c>
      <c r="E419" s="178" t="s">
        <v>563</v>
      </c>
      <c r="F419" s="179"/>
      <c r="G419" s="180" t="s">
        <v>721</v>
      </c>
      <c r="H419" s="170">
        <v>0.24</v>
      </c>
    </row>
    <row r="420" spans="1:8" s="137" customFormat="1" ht="12.75" customHeight="1">
      <c r="A420" s="98"/>
      <c r="B420" s="103"/>
      <c r="C420" s="104"/>
      <c r="D420" s="177"/>
      <c r="E420" s="178"/>
      <c r="F420" s="160"/>
      <c r="G420" s="180"/>
      <c r="H420" s="170"/>
    </row>
    <row r="421" spans="1:8" s="137" customFormat="1" ht="12.75" customHeight="1">
      <c r="A421" s="212" t="s">
        <v>219</v>
      </c>
      <c r="B421" s="103"/>
      <c r="C421" s="215"/>
      <c r="D421" s="165"/>
      <c r="E421" s="166" t="s">
        <v>564</v>
      </c>
      <c r="F421" s="99"/>
      <c r="G421" s="210"/>
      <c r="H421" s="100"/>
    </row>
    <row r="422" spans="1:8" s="137" customFormat="1" ht="12.75" customHeight="1">
      <c r="A422" s="98"/>
      <c r="B422" s="213">
        <v>97</v>
      </c>
      <c r="C422" s="164" t="s">
        <v>220</v>
      </c>
      <c r="D422" s="165"/>
      <c r="E422" s="166" t="s">
        <v>221</v>
      </c>
      <c r="F422" s="174"/>
      <c r="G422" s="168" t="s">
        <v>723</v>
      </c>
      <c r="H422" s="159">
        <f>H423</f>
        <v>685.57</v>
      </c>
    </row>
    <row r="423" spans="1:8" s="137" customFormat="1" ht="12.75" customHeight="1">
      <c r="A423" s="98"/>
      <c r="B423" s="213"/>
      <c r="C423" s="104"/>
      <c r="D423" s="177" t="s">
        <v>220</v>
      </c>
      <c r="E423" s="178" t="s">
        <v>221</v>
      </c>
      <c r="F423" s="182"/>
      <c r="G423" s="180" t="s">
        <v>723</v>
      </c>
      <c r="H423" s="170">
        <f>ROUND(F426,2)</f>
        <v>685.57</v>
      </c>
    </row>
    <row r="424" spans="1:8" s="137" customFormat="1" ht="12.75" customHeight="1">
      <c r="A424" s="98"/>
      <c r="B424" s="213"/>
      <c r="C424" s="104"/>
      <c r="D424" s="177"/>
      <c r="E424" s="110" t="s">
        <v>565</v>
      </c>
      <c r="F424" s="192">
        <f xml:space="preserve"> (51.01*11.2)*0.8</f>
        <v>457.05</v>
      </c>
      <c r="G424" s="180"/>
      <c r="H424" s="170"/>
    </row>
    <row r="425" spans="1:8" s="137" customFormat="1" ht="12.75" customHeight="1">
      <c r="A425" s="98"/>
      <c r="B425" s="213"/>
      <c r="C425" s="104"/>
      <c r="D425" s="177"/>
      <c r="E425" s="110" t="s">
        <v>566</v>
      </c>
      <c r="F425" s="219">
        <f>2*(51.01*11.2)*0.2</f>
        <v>228.52</v>
      </c>
      <c r="G425" s="180"/>
      <c r="H425" s="170"/>
    </row>
    <row r="426" spans="1:8" s="137" customFormat="1" ht="12.75" customHeight="1">
      <c r="A426" s="98"/>
      <c r="B426" s="213"/>
      <c r="C426" s="104"/>
      <c r="D426" s="177"/>
      <c r="E426" s="110"/>
      <c r="F426" s="160">
        <f>SUM(F424:F425)</f>
        <v>685.57</v>
      </c>
      <c r="G426" s="180"/>
      <c r="H426" s="170"/>
    </row>
    <row r="427" spans="1:8" s="137" customFormat="1" ht="12.75" customHeight="1">
      <c r="A427" s="98"/>
      <c r="B427" s="213">
        <v>98</v>
      </c>
      <c r="C427" s="164" t="s">
        <v>222</v>
      </c>
      <c r="D427" s="165"/>
      <c r="E427" s="166" t="s">
        <v>223</v>
      </c>
      <c r="F427" s="167"/>
      <c r="G427" s="168" t="s">
        <v>723</v>
      </c>
      <c r="H427" s="159">
        <f>H428</f>
        <v>491.7</v>
      </c>
    </row>
    <row r="428" spans="1:8" s="137" customFormat="1" ht="12.75" customHeight="1">
      <c r="A428" s="98"/>
      <c r="B428" s="213"/>
      <c r="C428" s="104"/>
      <c r="D428" s="177" t="s">
        <v>222</v>
      </c>
      <c r="E428" s="178" t="s">
        <v>223</v>
      </c>
      <c r="F428" s="182"/>
      <c r="G428" s="180" t="s">
        <v>723</v>
      </c>
      <c r="H428" s="170">
        <f>ROUND(F437,2)</f>
        <v>491.7</v>
      </c>
    </row>
    <row r="429" spans="1:8" s="137" customFormat="1" ht="30" customHeight="1">
      <c r="A429" s="98"/>
      <c r="B429" s="213"/>
      <c r="C429" s="104"/>
      <c r="D429" s="177"/>
      <c r="E429" s="110" t="s">
        <v>567</v>
      </c>
      <c r="F429" s="192">
        <f>((8.42+5.64+1*5.9)+((15.26+10.7+7.5*1)+(3.8+1.43+3.8*1)))*0.8*1.05</f>
        <v>52.46</v>
      </c>
      <c r="G429" s="180"/>
      <c r="H429" s="170"/>
    </row>
    <row r="430" spans="1:8" s="137" customFormat="1" ht="32.4" customHeight="1">
      <c r="A430" s="98"/>
      <c r="B430" s="213"/>
      <c r="C430" s="104"/>
      <c r="D430" s="177"/>
      <c r="E430" s="110" t="s">
        <v>568</v>
      </c>
      <c r="F430" s="192">
        <f>((8.42+5.64+1*5.9)+((15.26+10.7+7.5*1)+(3.8+1.43+3.8*1)))*0.2*1.05</f>
        <v>13.11</v>
      </c>
      <c r="G430" s="180"/>
      <c r="H430" s="170"/>
    </row>
    <row r="431" spans="1:8" s="137" customFormat="1" ht="40.200000000000003" customHeight="1">
      <c r="A431" s="98"/>
      <c r="B431" s="213"/>
      <c r="C431" s="104"/>
      <c r="D431" s="177"/>
      <c r="E431" s="110" t="s">
        <v>569</v>
      </c>
      <c r="F431" s="192">
        <f>((106.03+53.07+18.89+0.17*21.71)+(102.79+38.67+20.41+0.17*15.51))*0.8*1.05</f>
        <v>290.8</v>
      </c>
      <c r="G431" s="180"/>
      <c r="H431" s="170"/>
    </row>
    <row r="432" spans="1:8" s="137" customFormat="1" ht="38.4" customHeight="1">
      <c r="A432" s="98"/>
      <c r="B432" s="213"/>
      <c r="C432" s="104"/>
      <c r="D432" s="177"/>
      <c r="E432" s="110" t="s">
        <v>570</v>
      </c>
      <c r="F432" s="192">
        <f>((106.03+53.07+18.89+0.17*21.71)+(102.79+38.67+20.41+0.17*15.51))*0.2*1.05</f>
        <v>72.7</v>
      </c>
      <c r="G432" s="180"/>
      <c r="H432" s="170"/>
    </row>
    <row r="433" spans="1:8" s="137" customFormat="1" ht="39.6" customHeight="1">
      <c r="A433" s="98"/>
      <c r="B433" s="213"/>
      <c r="C433" s="104"/>
      <c r="D433" s="177"/>
      <c r="E433" s="110" t="s">
        <v>571</v>
      </c>
      <c r="F433" s="192">
        <f>((4.51+3.3+1.4*1.3+1.5*1)+(2.03+5.72*1.55+8.8*1.1+0.87+0.25*0.95))*0.8*1.05</f>
        <v>27.56</v>
      </c>
      <c r="G433" s="180"/>
      <c r="H433" s="170"/>
    </row>
    <row r="434" spans="1:8" s="137" customFormat="1" ht="37.799999999999997" customHeight="1">
      <c r="A434" s="98"/>
      <c r="B434" s="213"/>
      <c r="C434" s="104"/>
      <c r="D434" s="177"/>
      <c r="E434" s="110" t="s">
        <v>572</v>
      </c>
      <c r="F434" s="192">
        <f>2*((4.51+3.3+1.4*1.3+1.5*1)+(2.03+5.72*1.55+8.8*1.1+0.87+0.25*0.95))*0.2*1.05</f>
        <v>13.78</v>
      </c>
      <c r="G434" s="180"/>
      <c r="H434" s="170"/>
    </row>
    <row r="435" spans="1:8" s="137" customFormat="1" ht="19.2" customHeight="1">
      <c r="A435" s="98"/>
      <c r="B435" s="213"/>
      <c r="C435" s="104"/>
      <c r="D435" s="177"/>
      <c r="E435" s="110" t="s">
        <v>573</v>
      </c>
      <c r="F435" s="192">
        <f>2*0.64*13.2*0.8*1.05</f>
        <v>14.19</v>
      </c>
      <c r="G435" s="180"/>
      <c r="H435" s="170"/>
    </row>
    <row r="436" spans="1:8" s="137" customFormat="1" ht="12.75" customHeight="1">
      <c r="A436" s="98"/>
      <c r="B436" s="213"/>
      <c r="C436" s="104"/>
      <c r="D436" s="177"/>
      <c r="E436" s="110" t="s">
        <v>574</v>
      </c>
      <c r="F436" s="219">
        <f>2*2*0.64*13.2*0.2*1.05</f>
        <v>7.1</v>
      </c>
      <c r="G436" s="180"/>
      <c r="H436" s="170"/>
    </row>
    <row r="437" spans="1:8" s="137" customFormat="1" ht="12.75" customHeight="1">
      <c r="A437" s="98"/>
      <c r="B437" s="103"/>
      <c r="C437" s="104"/>
      <c r="D437" s="97"/>
      <c r="E437" s="110"/>
      <c r="F437" s="160">
        <f>SUM(F429:F436)</f>
        <v>491.7</v>
      </c>
      <c r="G437" s="161"/>
      <c r="H437" s="159"/>
    </row>
    <row r="438" spans="1:8" s="137" customFormat="1" ht="12.75" customHeight="1">
      <c r="A438" s="98" t="s">
        <v>225</v>
      </c>
      <c r="B438" s="103"/>
      <c r="C438" s="104"/>
      <c r="D438" s="97"/>
      <c r="E438" s="98" t="s">
        <v>575</v>
      </c>
      <c r="F438" s="160"/>
      <c r="G438" s="161"/>
      <c r="H438" s="159"/>
    </row>
    <row r="439" spans="1:8" s="137" customFormat="1" ht="12.75" customHeight="1">
      <c r="A439" s="98"/>
      <c r="B439" s="213">
        <v>99</v>
      </c>
      <c r="C439" s="164" t="s">
        <v>226</v>
      </c>
      <c r="D439" s="165"/>
      <c r="E439" s="166" t="s">
        <v>227</v>
      </c>
      <c r="F439" s="174"/>
      <c r="G439" s="168" t="s">
        <v>723</v>
      </c>
      <c r="H439" s="159">
        <f>H440</f>
        <v>245.13</v>
      </c>
    </row>
    <row r="440" spans="1:8" s="137" customFormat="1" ht="12.75" customHeight="1">
      <c r="A440" s="98"/>
      <c r="B440" s="213"/>
      <c r="C440" s="104"/>
      <c r="D440" s="177" t="s">
        <v>576</v>
      </c>
      <c r="E440" s="178" t="s">
        <v>577</v>
      </c>
      <c r="F440" s="182"/>
      <c r="G440" s="180" t="s">
        <v>723</v>
      </c>
      <c r="H440" s="170">
        <f>ROUND(F441,2)</f>
        <v>245.13</v>
      </c>
    </row>
    <row r="441" spans="1:8" s="137" customFormat="1" ht="12.75" customHeight="1">
      <c r="A441" s="98"/>
      <c r="B441" s="213"/>
      <c r="C441" s="104"/>
      <c r="D441" s="177"/>
      <c r="E441" s="110" t="s">
        <v>578</v>
      </c>
      <c r="F441" s="192">
        <v>245.13</v>
      </c>
      <c r="G441" s="180"/>
      <c r="H441" s="170"/>
    </row>
    <row r="442" spans="1:8" s="137" customFormat="1" ht="12.75" customHeight="1">
      <c r="A442" s="98"/>
      <c r="B442" s="213">
        <v>100</v>
      </c>
      <c r="C442" s="164" t="s">
        <v>228</v>
      </c>
      <c r="D442" s="165"/>
      <c r="E442" s="166" t="s">
        <v>229</v>
      </c>
      <c r="F442" s="174"/>
      <c r="G442" s="168" t="s">
        <v>723</v>
      </c>
      <c r="H442" s="159">
        <f>H443+H445</f>
        <v>815.69</v>
      </c>
    </row>
    <row r="443" spans="1:8" s="137" customFormat="1" ht="12.75" customHeight="1">
      <c r="A443" s="98"/>
      <c r="B443" s="213"/>
      <c r="C443" s="104"/>
      <c r="D443" s="177" t="s">
        <v>579</v>
      </c>
      <c r="E443" s="178" t="s">
        <v>580</v>
      </c>
      <c r="F443" s="182"/>
      <c r="G443" s="180" t="s">
        <v>723</v>
      </c>
      <c r="H443" s="170">
        <f>ROUND(F444,2)</f>
        <v>571.30999999999995</v>
      </c>
    </row>
    <row r="444" spans="1:8" s="137" customFormat="1" ht="12.75" customHeight="1">
      <c r="A444" s="98"/>
      <c r="B444" s="213"/>
      <c r="C444" s="104"/>
      <c r="D444" s="177"/>
      <c r="E444" s="110" t="s">
        <v>581</v>
      </c>
      <c r="F444" s="192">
        <f>(51.01*11.2)</f>
        <v>571.30999999999995</v>
      </c>
      <c r="G444" s="180"/>
      <c r="H444" s="170"/>
    </row>
    <row r="445" spans="1:8" s="137" customFormat="1" ht="12.75" customHeight="1">
      <c r="A445" s="98"/>
      <c r="B445" s="213"/>
      <c r="C445" s="104"/>
      <c r="D445" s="177" t="s">
        <v>582</v>
      </c>
      <c r="E445" s="178" t="s">
        <v>583</v>
      </c>
      <c r="F445" s="182"/>
      <c r="G445" s="180" t="s">
        <v>723</v>
      </c>
      <c r="H445" s="170">
        <f>F450</f>
        <v>244.38</v>
      </c>
    </row>
    <row r="446" spans="1:8" s="137" customFormat="1" ht="39" customHeight="1">
      <c r="A446" s="98"/>
      <c r="B446" s="213"/>
      <c r="C446" s="104"/>
      <c r="D446" s="177"/>
      <c r="E446" s="110" t="s">
        <v>584</v>
      </c>
      <c r="F446" s="192">
        <f>((6.88+1*5.25)+72.39)+((11.62+1*6.7+2.37+1*3.1)+71.16)</f>
        <v>179.47</v>
      </c>
      <c r="G446" s="180"/>
      <c r="H446" s="170"/>
    </row>
    <row r="447" spans="1:8" s="137" customFormat="1" ht="31.2" customHeight="1">
      <c r="A447" s="98"/>
      <c r="B447" s="213"/>
      <c r="C447" s="104"/>
      <c r="D447" s="177"/>
      <c r="E447" s="110" t="s">
        <v>585</v>
      </c>
      <c r="F447" s="192">
        <f>((1.55*5.72+5.72+2.85+(2*0.5*(2.33+1.94)+2*2.38*0.75))+((2.5+1.4*1.3+1.5*1)+5.6))</f>
        <v>36.700000000000003</v>
      </c>
      <c r="G447" s="180"/>
      <c r="H447" s="170"/>
    </row>
    <row r="448" spans="1:8" s="137" customFormat="1" ht="12.75" customHeight="1">
      <c r="A448" s="98"/>
      <c r="B448" s="213"/>
      <c r="C448" s="104"/>
      <c r="D448" s="177"/>
      <c r="E448" s="110" t="s">
        <v>586</v>
      </c>
      <c r="F448" s="192">
        <f>2*0.64*13.2</f>
        <v>16.899999999999999</v>
      </c>
      <c r="G448" s="180"/>
      <c r="H448" s="170"/>
    </row>
    <row r="449" spans="1:8" s="137" customFormat="1" ht="12.75" customHeight="1">
      <c r="A449" s="98"/>
      <c r="B449" s="213"/>
      <c r="C449" s="104"/>
      <c r="D449" s="97"/>
      <c r="E449" s="110" t="s">
        <v>587</v>
      </c>
      <c r="F449" s="171">
        <f>3*1.2*PI()*1</f>
        <v>11.31</v>
      </c>
      <c r="G449" s="161"/>
      <c r="H449" s="159"/>
    </row>
    <row r="450" spans="1:8" s="137" customFormat="1" ht="12.75" customHeight="1">
      <c r="A450" s="98"/>
      <c r="B450" s="213"/>
      <c r="C450" s="104"/>
      <c r="D450" s="97"/>
      <c r="E450" s="110"/>
      <c r="F450" s="160">
        <f>SUM(F446:F449)</f>
        <v>244.38</v>
      </c>
      <c r="G450" s="161"/>
      <c r="H450" s="159"/>
    </row>
    <row r="451" spans="1:8">
      <c r="A451" s="220"/>
      <c r="B451" s="221"/>
      <c r="C451" s="222"/>
      <c r="D451" s="223"/>
      <c r="E451" s="222"/>
      <c r="F451" s="224"/>
      <c r="G451" s="222"/>
      <c r="H451" s="225"/>
    </row>
    <row r="452" spans="1:8">
      <c r="A452" s="227"/>
      <c r="B452" s="228"/>
      <c r="C452" s="229"/>
      <c r="D452" s="230"/>
      <c r="E452" s="229"/>
      <c r="F452" s="231"/>
      <c r="G452" s="229"/>
      <c r="H452" s="232"/>
    </row>
    <row r="453" spans="1:8">
      <c r="A453" s="227"/>
      <c r="B453" s="228"/>
      <c r="C453" s="229"/>
      <c r="D453" s="230"/>
      <c r="E453" s="229"/>
      <c r="F453" s="231"/>
      <c r="G453" s="229"/>
      <c r="H453" s="232"/>
    </row>
    <row r="454" spans="1:8">
      <c r="A454" s="227"/>
      <c r="B454" s="228"/>
      <c r="C454" s="229"/>
      <c r="D454" s="230"/>
      <c r="E454" s="229"/>
      <c r="F454" s="231"/>
      <c r="G454" s="229"/>
      <c r="H454" s="232"/>
    </row>
    <row r="455" spans="1:8">
      <c r="A455" s="227"/>
      <c r="B455" s="228"/>
      <c r="C455" s="229"/>
      <c r="D455" s="230"/>
      <c r="E455" s="229"/>
      <c r="F455" s="231"/>
      <c r="G455" s="229"/>
      <c r="H455" s="232"/>
    </row>
    <row r="456" spans="1:8">
      <c r="A456" s="227"/>
      <c r="B456" s="228"/>
      <c r="C456" s="229"/>
      <c r="D456" s="230"/>
      <c r="E456" s="229"/>
      <c r="F456" s="231"/>
      <c r="G456" s="229"/>
      <c r="H456" s="232"/>
    </row>
    <row r="457" spans="1:8">
      <c r="A457" s="227"/>
      <c r="B457" s="228"/>
      <c r="C457" s="229"/>
      <c r="D457" s="230"/>
      <c r="E457" s="229"/>
      <c r="F457" s="231"/>
      <c r="G457" s="229"/>
      <c r="H457" s="232"/>
    </row>
    <row r="458" spans="1:8">
      <c r="A458" s="227"/>
      <c r="B458" s="228"/>
      <c r="C458" s="229"/>
      <c r="D458" s="230"/>
      <c r="E458" s="229"/>
      <c r="F458" s="231"/>
      <c r="G458" s="229"/>
      <c r="H458" s="232"/>
    </row>
    <row r="459" spans="1:8">
      <c r="A459" s="227"/>
      <c r="B459" s="228"/>
      <c r="C459" s="229"/>
      <c r="D459" s="230"/>
      <c r="E459" s="229"/>
      <c r="F459" s="231"/>
      <c r="G459" s="229"/>
      <c r="H459" s="232"/>
    </row>
    <row r="460" spans="1:8">
      <c r="A460" s="227"/>
      <c r="B460" s="228"/>
      <c r="C460" s="229"/>
      <c r="D460" s="230"/>
      <c r="E460" s="229"/>
      <c r="F460" s="231"/>
      <c r="G460" s="229"/>
      <c r="H460" s="232"/>
    </row>
    <row r="461" spans="1:8">
      <c r="A461" s="227"/>
      <c r="B461" s="228"/>
      <c r="C461" s="229"/>
      <c r="D461" s="230"/>
      <c r="E461" s="229"/>
      <c r="F461" s="231"/>
      <c r="G461" s="229"/>
      <c r="H461" s="232"/>
    </row>
    <row r="466" spans="1:8" ht="14.4">
      <c r="A466" s="48" t="s">
        <v>729</v>
      </c>
      <c r="B466" s="48"/>
      <c r="C466" s="48"/>
      <c r="D466" s="2"/>
      <c r="E466" s="52"/>
      <c r="F466" s="53"/>
      <c r="G466" s="53"/>
      <c r="H466" s="53"/>
    </row>
    <row r="467" spans="1:8" ht="14.4">
      <c r="A467" s="2"/>
      <c r="B467" s="54"/>
      <c r="C467" s="2"/>
      <c r="D467" s="2"/>
      <c r="E467" s="52"/>
      <c r="F467" s="55"/>
      <c r="G467" s="55"/>
      <c r="H467" s="55"/>
    </row>
    <row r="468" spans="1:8" ht="14.4">
      <c r="A468" s="48" t="s">
        <v>731</v>
      </c>
      <c r="B468" s="48"/>
      <c r="C468" s="48"/>
      <c r="D468" s="2"/>
      <c r="E468" s="52"/>
      <c r="F468" s="56" t="s">
        <v>730</v>
      </c>
      <c r="G468" s="56"/>
      <c r="H468" s="56"/>
    </row>
    <row r="469" spans="1:8" ht="31.8" customHeight="1">
      <c r="A469" s="233"/>
      <c r="B469" s="233"/>
      <c r="C469" s="233"/>
      <c r="D469" s="2"/>
      <c r="E469" s="52"/>
      <c r="F469" s="59" t="s">
        <v>732</v>
      </c>
      <c r="G469" s="59"/>
      <c r="H469" s="59"/>
    </row>
  </sheetData>
  <sheetProtection algorithmName="SHA-512" hashValue="DWQkwtz2wxO+TADoqS57oiGKSY2GKD3OygaJRsntqUCdfuY6perQbjZ6Q5T9WMDSV4qg5ORvMiFCYPMHju91XA==" saltValue="QwEV7FO1eGfUoQHgrR46jw==" spinCount="100000" sheet="1" objects="1" scenarios="1"/>
  <mergeCells count="11">
    <mergeCell ref="A466:C466"/>
    <mergeCell ref="F467:H467"/>
    <mergeCell ref="F468:H468"/>
    <mergeCell ref="A469:C469"/>
    <mergeCell ref="F469:H469"/>
    <mergeCell ref="A468:C468"/>
    <mergeCell ref="B5:D5"/>
    <mergeCell ref="E5:F5"/>
    <mergeCell ref="G5:G6"/>
    <mergeCell ref="H5:H6"/>
    <mergeCell ref="I5:I6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7</vt:i4>
      </vt:variant>
    </vt:vector>
  </HeadingPairs>
  <TitlesOfParts>
    <vt:vector size="12" baseType="lpstr">
      <vt:lpstr>RekapitulaciaStavby</vt:lpstr>
      <vt:lpstr>SupisPrac</vt:lpstr>
      <vt:lpstr>CastiStavby</vt:lpstr>
      <vt:lpstr>000</vt:lpstr>
      <vt:lpstr>201</vt:lpstr>
      <vt:lpstr>'000'!Názvy_tlače</vt:lpstr>
      <vt:lpstr>CastiStavby!Názvy_tlače</vt:lpstr>
      <vt:lpstr>SupisPrac!Názvy_tlače</vt:lpstr>
      <vt:lpstr>'000'!Oblasť_tlače</vt:lpstr>
      <vt:lpstr>'201'!Oblasť_tlače</vt:lpstr>
      <vt:lpstr>CastiStavby!Oblasť_tlače</vt:lpstr>
      <vt:lpstr>RekapitulaciaStavby!Oblasť_tlače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Marta</dc:creator>
  <cp:lastModifiedBy>Kovácsová Mária</cp:lastModifiedBy>
  <cp:lastPrinted>2025-01-13T14:11:54Z</cp:lastPrinted>
  <dcterms:created xsi:type="dcterms:W3CDTF">2022-10-12T13:08:42Z</dcterms:created>
  <dcterms:modified xsi:type="dcterms:W3CDTF">2025-01-13T14:31:12Z</dcterms:modified>
</cp:coreProperties>
</file>