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M:\NDS\4000\40300\__BIELCIKOVA\24_Oprava diaľničného mosta ev.č.D2-069 Sekule, ľavý most\03_Súťažné podklady\DMS I. kolo\"/>
    </mc:Choice>
  </mc:AlternateContent>
  <xr:revisionPtr revIDLastSave="0" documentId="13_ncr:1_{D1204A93-9AD0-4920-B413-2DDC49953324}" xr6:coauthVersionLast="36" xr6:coauthVersionMax="36" xr10:uidLastSave="{00000000-0000-0000-0000-000000000000}"/>
  <bookViews>
    <workbookView xWindow="0" yWindow="0" windowWidth="25200" windowHeight="11985" xr2:uid="{00000000-000D-0000-FFFF-FFFF00000000}"/>
  </bookViews>
  <sheets>
    <sheet name="069" sheetId="1" r:id="rId1"/>
  </sheets>
  <definedNames>
    <definedName name="_xlnm.Print_Titles" localSheetId="0">'069'!$6:$7</definedName>
    <definedName name="_xlnm.Print_Area" localSheetId="0">'069'!$A$1:$H$715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8" i="1" l="1"/>
  <c r="F708" i="1" l="1"/>
  <c r="F705" i="1"/>
  <c r="F704" i="1"/>
  <c r="F701" i="1"/>
  <c r="F700" i="1"/>
  <c r="F702" i="1" s="1"/>
  <c r="H607" i="1"/>
  <c r="F706" i="1" l="1"/>
  <c r="F709" i="1" s="1"/>
  <c r="H696" i="1" s="1"/>
  <c r="H695" i="1" s="1"/>
  <c r="F639" i="1" l="1"/>
  <c r="F638" i="1"/>
  <c r="F637" i="1"/>
  <c r="F634" i="1"/>
  <c r="F633" i="1"/>
  <c r="F632" i="1"/>
  <c r="F627" i="1"/>
  <c r="F626" i="1"/>
  <c r="F625" i="1"/>
  <c r="F619" i="1"/>
  <c r="F618" i="1"/>
  <c r="F617" i="1"/>
  <c r="F614" i="1"/>
  <c r="F613" i="1"/>
  <c r="F612" i="1"/>
  <c r="F198" i="1" l="1"/>
  <c r="F661" i="1"/>
  <c r="H659" i="1" s="1"/>
  <c r="H658" i="1" s="1"/>
  <c r="F657" i="1"/>
  <c r="H655" i="1" s="1"/>
  <c r="H654" i="1" s="1"/>
  <c r="F589" i="1"/>
  <c r="H587" i="1" s="1"/>
  <c r="F560" i="1"/>
  <c r="F368" i="1"/>
  <c r="H364" i="1" s="1"/>
  <c r="F338" i="1"/>
  <c r="F310" i="1"/>
  <c r="F311" i="1" s="1"/>
  <c r="H308" i="1" s="1"/>
  <c r="F302" i="1"/>
  <c r="F68" i="1"/>
  <c r="F328" i="1"/>
  <c r="F146" i="1"/>
  <c r="F145" i="1"/>
  <c r="F100" i="1"/>
  <c r="H98" i="1" s="1"/>
  <c r="H97" i="1" s="1"/>
  <c r="F185" i="1"/>
  <c r="F203" i="1"/>
  <c r="H558" i="1" l="1"/>
  <c r="H557" i="1" s="1"/>
  <c r="H586" i="1"/>
  <c r="F147" i="1"/>
  <c r="F184" i="1" l="1"/>
  <c r="F183" i="1"/>
  <c r="F135" i="1"/>
  <c r="F55" i="1"/>
  <c r="F171" i="1" l="1"/>
  <c r="F443" i="1"/>
  <c r="F438" i="1"/>
  <c r="F200" i="1"/>
  <c r="F397" i="1"/>
  <c r="H296" i="1" l="1"/>
  <c r="F569" i="1"/>
  <c r="F565" i="1"/>
  <c r="H563" i="1" s="1"/>
  <c r="F584" i="1"/>
  <c r="F581" i="1"/>
  <c r="F241" i="1"/>
  <c r="F384" i="1"/>
  <c r="F600" i="1"/>
  <c r="F599" i="1"/>
  <c r="F503" i="1"/>
  <c r="F476" i="1"/>
  <c r="F237" i="1"/>
  <c r="F111" i="1"/>
  <c r="H513" i="1" l="1"/>
  <c r="H383" i="1"/>
  <c r="H382" i="1" s="1"/>
  <c r="F149" i="1"/>
  <c r="F155" i="1"/>
  <c r="F154" i="1"/>
  <c r="F510" i="1" l="1"/>
  <c r="F593" i="1"/>
  <c r="F594" i="1"/>
  <c r="F604" i="1"/>
  <c r="F153" i="1"/>
  <c r="F152" i="1"/>
  <c r="F151" i="1"/>
  <c r="H46" i="1"/>
  <c r="H45" i="1" s="1"/>
  <c r="H562" i="1"/>
  <c r="F156" i="1" l="1"/>
  <c r="F595" i="1"/>
  <c r="H592" i="1" s="1"/>
  <c r="H591" i="1" s="1"/>
  <c r="H583" i="1"/>
  <c r="H582" i="1" s="1"/>
  <c r="H579" i="1"/>
  <c r="H578" i="1" s="1"/>
  <c r="H240" i="1"/>
  <c r="H239" i="1" s="1"/>
  <c r="F261" i="1" l="1"/>
  <c r="F96" i="1" l="1"/>
  <c r="F653" i="1"/>
  <c r="H651" i="1" s="1"/>
  <c r="F649" i="1"/>
  <c r="H647" i="1" s="1"/>
  <c r="F646" i="1"/>
  <c r="H644" i="1" s="1"/>
  <c r="F712" i="1"/>
  <c r="H711" i="1" s="1"/>
  <c r="H710" i="1" s="1"/>
  <c r="F89" i="1"/>
  <c r="H643" i="1" l="1"/>
  <c r="F524" i="1"/>
  <c r="H523" i="1" s="1"/>
  <c r="H522" i="1" s="1"/>
  <c r="F175" i="1" l="1"/>
  <c r="H174" i="1" s="1"/>
  <c r="H173" i="1" s="1"/>
  <c r="F429" i="1"/>
  <c r="H354" i="1"/>
  <c r="F484" i="1" l="1"/>
  <c r="F530" i="1"/>
  <c r="F527" i="1"/>
  <c r="F551" i="1" l="1"/>
  <c r="F548" i="1"/>
  <c r="F352" i="1"/>
  <c r="F142" i="1" l="1"/>
  <c r="F141" i="1"/>
  <c r="F140" i="1"/>
  <c r="F139" i="1"/>
  <c r="F138" i="1"/>
  <c r="F137" i="1"/>
  <c r="F136" i="1"/>
  <c r="F134" i="1"/>
  <c r="F86" i="1"/>
  <c r="H84" i="1" s="1"/>
  <c r="H351" i="1" l="1"/>
  <c r="F683" i="1"/>
  <c r="F682" i="1"/>
  <c r="F191" i="1"/>
  <c r="F348" i="1"/>
  <c r="F347" i="1"/>
  <c r="F335" i="1"/>
  <c r="F334" i="1"/>
  <c r="F576" i="1"/>
  <c r="H575" i="1" s="1"/>
  <c r="H574" i="1" s="1"/>
  <c r="F573" i="1"/>
  <c r="H572" i="1" s="1"/>
  <c r="H571" i="1" s="1"/>
  <c r="F471" i="1"/>
  <c r="F568" i="1"/>
  <c r="F496" i="1"/>
  <c r="F495" i="1"/>
  <c r="H491" i="1"/>
  <c r="H490" i="1" s="1"/>
  <c r="F380" i="1"/>
  <c r="F379" i="1"/>
  <c r="H363" i="1"/>
  <c r="H542" i="1"/>
  <c r="H541" i="1" s="1"/>
  <c r="F418" i="1"/>
  <c r="H603" i="1"/>
  <c r="H602" i="1" s="1"/>
  <c r="F598" i="1"/>
  <c r="F570" i="1" l="1"/>
  <c r="H567" i="1" s="1"/>
  <c r="H566" i="1" s="1"/>
  <c r="F381" i="1"/>
  <c r="H377" i="1" s="1"/>
  <c r="H376" i="1" s="1"/>
  <c r="F601" i="1"/>
  <c r="H597" i="1" s="1"/>
  <c r="H596" i="1" s="1"/>
  <c r="F497" i="1"/>
  <c r="H494" i="1" s="1"/>
  <c r="H493" i="1" s="1"/>
  <c r="F483" i="1"/>
  <c r="F428" i="1" l="1"/>
  <c r="F427" i="1"/>
  <c r="F217" i="1"/>
  <c r="F216" i="1"/>
  <c r="F215" i="1"/>
  <c r="F210" i="1"/>
  <c r="H209" i="1" s="1"/>
  <c r="F208" i="1"/>
  <c r="H124" i="1"/>
  <c r="H123" i="1" s="1"/>
  <c r="H91" i="1"/>
  <c r="F119" i="1" l="1"/>
  <c r="H88" i="1" l="1"/>
  <c r="F556" i="1"/>
  <c r="H555" i="1" s="1"/>
  <c r="H549" i="1"/>
  <c r="F452" i="1"/>
  <c r="H546" i="1" l="1"/>
  <c r="H545" i="1" s="1"/>
  <c r="F344" i="1" l="1"/>
  <c r="F343" i="1"/>
  <c r="F693" i="1"/>
  <c r="F692" i="1"/>
  <c r="F349" i="1" l="1"/>
  <c r="F336" i="1"/>
  <c r="F345" i="1"/>
  <c r="F694" i="1"/>
  <c r="H691" i="1" s="1"/>
  <c r="H690" i="1" s="1"/>
  <c r="F679" i="1"/>
  <c r="F678" i="1"/>
  <c r="F677" i="1"/>
  <c r="F674" i="1"/>
  <c r="F673" i="1"/>
  <c r="F667" i="1"/>
  <c r="F666" i="1"/>
  <c r="F339" i="1" l="1"/>
  <c r="H332" i="1" s="1"/>
  <c r="H331" i="1" s="1"/>
  <c r="F350" i="1"/>
  <c r="F668" i="1"/>
  <c r="F684" i="1"/>
  <c r="F680" i="1"/>
  <c r="F675" i="1"/>
  <c r="H663" i="1" l="1"/>
  <c r="H662" i="1" s="1"/>
  <c r="H341" i="1"/>
  <c r="H340" i="1" s="1"/>
  <c r="F685" i="1"/>
  <c r="H670" i="1" s="1"/>
  <c r="H669" i="1" s="1"/>
  <c r="F538" i="1" l="1"/>
  <c r="F537" i="1"/>
  <c r="F536" i="1"/>
  <c r="F539" i="1" l="1"/>
  <c r="H535" i="1" s="1"/>
  <c r="F485" i="1"/>
  <c r="F486" i="1" s="1"/>
  <c r="H502" i="1"/>
  <c r="H501" i="1" s="1"/>
  <c r="H475" i="1"/>
  <c r="H474" i="1" s="1"/>
  <c r="F445" i="1"/>
  <c r="F444" i="1"/>
  <c r="F442" i="1"/>
  <c r="F439" i="1"/>
  <c r="F437" i="1"/>
  <c r="F434" i="1"/>
  <c r="H433" i="1" s="1"/>
  <c r="H432" i="1" s="1"/>
  <c r="F449" i="1"/>
  <c r="H448" i="1" s="1"/>
  <c r="H447" i="1" s="1"/>
  <c r="F430" i="1"/>
  <c r="F426" i="1"/>
  <c r="H87" i="1"/>
  <c r="H508" i="1"/>
  <c r="H507" i="1" s="1"/>
  <c r="F479" i="1"/>
  <c r="H478" i="1" s="1"/>
  <c r="H477" i="1" s="1"/>
  <c r="H482" i="1" l="1"/>
  <c r="H481" i="1" s="1"/>
  <c r="F431" i="1"/>
  <c r="H425" i="1" s="1"/>
  <c r="H424" i="1" s="1"/>
  <c r="F446" i="1"/>
  <c r="H441" i="1" s="1"/>
  <c r="F440" i="1"/>
  <c r="H436" i="1" s="1"/>
  <c r="H435" i="1" l="1"/>
  <c r="F689" i="1" l="1"/>
  <c r="H687" i="1" s="1"/>
  <c r="H686" i="1" s="1"/>
  <c r="F640" i="1" l="1"/>
  <c r="F620" i="1"/>
  <c r="F472" i="1" l="1"/>
  <c r="H466" i="1"/>
  <c r="H465" i="1" s="1"/>
  <c r="F464" i="1"/>
  <c r="H463" i="1" s="1"/>
  <c r="H462" i="1" s="1"/>
  <c r="F473" i="1" l="1"/>
  <c r="H553" i="1"/>
  <c r="H552" i="1" s="1"/>
  <c r="F403" i="1" l="1"/>
  <c r="H401" i="1" s="1"/>
  <c r="H400" i="1" s="1"/>
  <c r="H512" i="1"/>
  <c r="F423" i="1"/>
  <c r="H422" i="1" s="1"/>
  <c r="F421" i="1"/>
  <c r="H420" i="1" s="1"/>
  <c r="F413" i="1"/>
  <c r="F414" i="1"/>
  <c r="F398" i="1"/>
  <c r="F399" i="1" l="1"/>
  <c r="F415" i="1"/>
  <c r="H411" i="1" s="1"/>
  <c r="H419" i="1"/>
  <c r="F506" i="1" l="1"/>
  <c r="H505" i="1" s="1"/>
  <c r="H504" i="1" s="1"/>
  <c r="F489" i="1"/>
  <c r="F500" i="1"/>
  <c r="H488" i="1" l="1"/>
  <c r="H487" i="1" s="1"/>
  <c r="H499" i="1"/>
  <c r="H498" i="1" s="1"/>
  <c r="H395" i="1"/>
  <c r="H394" i="1" s="1"/>
  <c r="H410" i="1"/>
  <c r="F408" i="1"/>
  <c r="F407" i="1"/>
  <c r="H417" i="1"/>
  <c r="H416" i="1" s="1"/>
  <c r="F361" i="1"/>
  <c r="F360" i="1"/>
  <c r="H356" i="1"/>
  <c r="F362" i="1" l="1"/>
  <c r="H358" i="1" s="1"/>
  <c r="H353" i="1" s="1"/>
  <c r="F409" i="1"/>
  <c r="H405" i="1" s="1"/>
  <c r="H404" i="1" s="1"/>
  <c r="F329" i="1"/>
  <c r="H324" i="1"/>
  <c r="H323" i="1" s="1"/>
  <c r="F321" i="1"/>
  <c r="H25" i="1"/>
  <c r="F330" i="1" l="1"/>
  <c r="H327" i="1" s="1"/>
  <c r="H326" i="1" s="1"/>
  <c r="F460" i="1"/>
  <c r="F459" i="1"/>
  <c r="F455" i="1"/>
  <c r="H454" i="1" s="1"/>
  <c r="H453" i="1" s="1"/>
  <c r="F461" i="1" l="1"/>
  <c r="H458" i="1" s="1"/>
  <c r="H457" i="1" s="1"/>
  <c r="H317" i="1"/>
  <c r="H316" i="1" s="1"/>
  <c r="H307" i="1"/>
  <c r="F306" i="1"/>
  <c r="H305" i="1" s="1"/>
  <c r="H304" i="1" s="1"/>
  <c r="F300" i="1"/>
  <c r="F533" i="1"/>
  <c r="H532" i="1" s="1"/>
  <c r="H531" i="1" s="1"/>
  <c r="F303" i="1" l="1"/>
  <c r="H299" i="1" s="1"/>
  <c r="H298" i="1" s="1"/>
  <c r="F521" i="1"/>
  <c r="F518" i="1"/>
  <c r="F392" i="1"/>
  <c r="F190" i="1"/>
  <c r="F374" i="1"/>
  <c r="F373" i="1"/>
  <c r="F375" i="1" l="1"/>
  <c r="H370" i="1" s="1"/>
  <c r="H369" i="1" s="1"/>
  <c r="F315" i="1"/>
  <c r="H313" i="1" s="1"/>
  <c r="H312" i="1" s="1"/>
  <c r="H283" i="1" l="1"/>
  <c r="F281" i="1"/>
  <c r="F280" i="1"/>
  <c r="F276" i="1"/>
  <c r="F275" i="1"/>
  <c r="F271" i="1"/>
  <c r="F270" i="1"/>
  <c r="F272" i="1" l="1"/>
  <c r="H269" i="1" s="1"/>
  <c r="H268" i="1" s="1"/>
  <c r="F282" i="1"/>
  <c r="H279" i="1" s="1"/>
  <c r="H278" i="1" s="1"/>
  <c r="F277" i="1"/>
  <c r="H274" i="1" s="1"/>
  <c r="H273" i="1" s="1"/>
  <c r="H295" i="1"/>
  <c r="F293" i="1"/>
  <c r="F292" i="1"/>
  <c r="F294" i="1" l="1"/>
  <c r="H291" i="1" s="1"/>
  <c r="H290" i="1" s="1"/>
  <c r="F289" i="1"/>
  <c r="H288" i="1" s="1"/>
  <c r="F287" i="1"/>
  <c r="H286" i="1" s="1"/>
  <c r="F24" i="1"/>
  <c r="H23" i="1" s="1"/>
  <c r="F37" i="1"/>
  <c r="F36" i="1"/>
  <c r="F33" i="1"/>
  <c r="F32" i="1"/>
  <c r="F31" i="1"/>
  <c r="F34" i="1"/>
  <c r="H285" i="1" l="1"/>
  <c r="F38" i="1"/>
  <c r="H30" i="1" l="1"/>
  <c r="H29" i="1" s="1"/>
  <c r="F246" i="1"/>
  <c r="F218" i="1"/>
  <c r="F212" i="1"/>
  <c r="H211" i="1" s="1"/>
  <c r="H207" i="1"/>
  <c r="F245" i="1"/>
  <c r="F247" i="1"/>
  <c r="F236" i="1"/>
  <c r="F231" i="1"/>
  <c r="F235" i="1"/>
  <c r="F230" i="1"/>
  <c r="F226" i="1"/>
  <c r="H225" i="1" s="1"/>
  <c r="F223" i="1"/>
  <c r="H222" i="1" s="1"/>
  <c r="F204" i="1"/>
  <c r="F205" i="1" s="1"/>
  <c r="H202" i="1" s="1"/>
  <c r="F199" i="1"/>
  <c r="F201" i="1" s="1"/>
  <c r="F195" i="1"/>
  <c r="H194" i="1" s="1"/>
  <c r="F189" i="1"/>
  <c r="F78" i="1"/>
  <c r="F81" i="1" s="1"/>
  <c r="F75" i="1"/>
  <c r="F74" i="1"/>
  <c r="F73" i="1"/>
  <c r="F238" i="1" l="1"/>
  <c r="H234" i="1" s="1"/>
  <c r="F252" i="1"/>
  <c r="F266" i="1" s="1"/>
  <c r="H265" i="1" s="1"/>
  <c r="H264" i="1" s="1"/>
  <c r="F262" i="1"/>
  <c r="H206" i="1"/>
  <c r="F219" i="1"/>
  <c r="H214" i="1" s="1"/>
  <c r="H213" i="1" s="1"/>
  <c r="F192" i="1"/>
  <c r="H188" i="1" s="1"/>
  <c r="H187" i="1" s="1"/>
  <c r="F232" i="1"/>
  <c r="F248" i="1"/>
  <c r="H243" i="1" s="1"/>
  <c r="H197" i="1"/>
  <c r="H196" i="1" s="1"/>
  <c r="F76" i="1"/>
  <c r="F82" i="1" s="1"/>
  <c r="H71" i="1" s="1"/>
  <c r="H251" i="1" l="1"/>
  <c r="H250" i="1" s="1"/>
  <c r="F255" i="1"/>
  <c r="H254" i="1" s="1"/>
  <c r="H253" i="1" s="1"/>
  <c r="H229" i="1"/>
  <c r="F259" i="1"/>
  <c r="H233" i="1"/>
  <c r="F260" i="1"/>
  <c r="F167" i="1"/>
  <c r="F170" i="1" s="1"/>
  <c r="F164" i="1"/>
  <c r="F163" i="1"/>
  <c r="F162" i="1"/>
  <c r="F263" i="1" l="1"/>
  <c r="H21" i="1" s="1"/>
  <c r="H20" i="1" s="1"/>
  <c r="F165" i="1"/>
  <c r="F172" i="1" l="1"/>
  <c r="H160" i="1" s="1"/>
  <c r="H257" i="1"/>
  <c r="F108" i="1"/>
  <c r="H106" i="1" s="1"/>
  <c r="H105" i="1" s="1"/>
  <c r="F104" i="1"/>
  <c r="H102" i="1" s="1"/>
  <c r="H101" i="1" s="1"/>
  <c r="F182" i="1"/>
  <c r="F186" i="1" s="1"/>
  <c r="H180" i="1" s="1"/>
  <c r="F179" i="1"/>
  <c r="H177" i="1" s="1"/>
  <c r="F128" i="1"/>
  <c r="F121" i="1"/>
  <c r="H176" i="1" l="1"/>
  <c r="F114" i="1"/>
  <c r="H113" i="1" s="1"/>
  <c r="H112" i="1" s="1"/>
  <c r="F118" i="1"/>
  <c r="F122" i="1" s="1"/>
  <c r="F129" i="1"/>
  <c r="F130" i="1" s="1"/>
  <c r="H127" i="1" s="1"/>
  <c r="F57" i="1"/>
  <c r="F58" i="1" s="1"/>
  <c r="H54" i="1" s="1"/>
  <c r="F52" i="1"/>
  <c r="H50" i="1" s="1"/>
  <c r="H49" i="1" s="1"/>
  <c r="F65" i="1"/>
  <c r="F63" i="1"/>
  <c r="H116" i="1" l="1"/>
  <c r="H115" i="1" s="1"/>
  <c r="H110" i="1"/>
  <c r="H109" i="1" s="1"/>
  <c r="F66" i="1"/>
  <c r="H13" i="1"/>
  <c r="H10" i="1"/>
  <c r="A10" i="1"/>
  <c r="H43" i="1"/>
  <c r="H42" i="1" s="1"/>
  <c r="F69" i="1" l="1"/>
  <c r="H60" i="1" s="1"/>
  <c r="H59" i="1" s="1"/>
  <c r="A13" i="1"/>
  <c r="A18" i="1" s="1"/>
  <c r="A20" i="1" l="1"/>
  <c r="H228" i="1"/>
  <c r="A22" i="1" l="1"/>
  <c r="H242" i="1"/>
  <c r="H256" i="1"/>
  <c r="H650" i="1" l="1"/>
  <c r="H606" i="1"/>
  <c r="F635" i="1"/>
  <c r="F641" i="1" s="1"/>
  <c r="H630" i="1" s="1"/>
  <c r="F628" i="1"/>
  <c r="H623" i="1" s="1"/>
  <c r="F615" i="1"/>
  <c r="F621" i="1" s="1"/>
  <c r="H610" i="1" s="1"/>
  <c r="F143" i="1"/>
  <c r="F158" i="1" s="1"/>
  <c r="H470" i="1" l="1"/>
  <c r="H451" i="1"/>
  <c r="H450" i="1" s="1"/>
  <c r="H529" i="1"/>
  <c r="H526" i="1"/>
  <c r="H525" i="1" s="1"/>
  <c r="H520" i="1"/>
  <c r="H519" i="1" s="1"/>
  <c r="H517" i="1"/>
  <c r="H516" i="1" s="1"/>
  <c r="H386" i="1"/>
  <c r="H193" i="1" l="1"/>
  <c r="H70" i="1"/>
  <c r="H224" i="1" l="1"/>
  <c r="H90" i="1"/>
  <c r="H469" i="1" l="1"/>
  <c r="H19" i="1" l="1"/>
  <c r="H390" i="1" l="1"/>
  <c r="H389" i="1" s="1"/>
  <c r="H534" i="1" l="1"/>
  <c r="H221" i="1" l="1"/>
  <c r="H39" i="1" l="1"/>
  <c r="H385" i="1" l="1"/>
  <c r="H622" i="1" l="1"/>
  <c r="H609" i="1"/>
  <c r="H629" i="1"/>
  <c r="H528" i="1" l="1"/>
  <c r="H83" i="1" l="1"/>
  <c r="H53" i="1"/>
  <c r="H126" i="1" l="1"/>
  <c r="H159" i="1"/>
  <c r="H18" i="1" l="1"/>
  <c r="H22" i="1"/>
  <c r="A25" i="1" l="1"/>
  <c r="A29" i="1" l="1"/>
  <c r="A39" i="1" s="1"/>
  <c r="A42" i="1" l="1"/>
  <c r="A45" i="1" l="1"/>
  <c r="A49" i="1" s="1"/>
  <c r="A53" i="1" l="1"/>
  <c r="A59" i="1" s="1"/>
  <c r="A70" i="1" l="1"/>
  <c r="A83" i="1" l="1"/>
  <c r="A87" i="1" l="1"/>
  <c r="A90" i="1" s="1"/>
  <c r="A97" i="1" s="1"/>
  <c r="A101" i="1" s="1"/>
  <c r="A105" i="1" l="1"/>
  <c r="A109" i="1" l="1"/>
  <c r="A112" i="1" s="1"/>
  <c r="A115" i="1" s="1"/>
  <c r="A123" i="1" l="1"/>
  <c r="A126" i="1" s="1"/>
  <c r="A131" i="1" s="1"/>
  <c r="A159" i="1" s="1"/>
  <c r="A173" i="1" l="1"/>
  <c r="A176" i="1" l="1"/>
  <c r="A187" i="1" s="1"/>
  <c r="A193" i="1" s="1"/>
  <c r="A196" i="1" s="1"/>
  <c r="A206" i="1" s="1"/>
  <c r="A213" i="1" s="1"/>
  <c r="A221" i="1" l="1"/>
  <c r="A224" i="1" s="1"/>
  <c r="A228" i="1" l="1"/>
  <c r="A233" i="1" l="1"/>
  <c r="A239" i="1" s="1"/>
  <c r="A242" i="1" l="1"/>
  <c r="A250" i="1"/>
  <c r="A253" i="1" s="1"/>
  <c r="A256" i="1" s="1"/>
  <c r="A264" i="1" s="1"/>
  <c r="A268" i="1" l="1"/>
  <c r="A273" i="1" s="1"/>
  <c r="A278" i="1" s="1"/>
  <c r="A283" i="1" s="1"/>
  <c r="A285" i="1" s="1"/>
  <c r="A290" i="1" s="1"/>
  <c r="A295" i="1" s="1"/>
  <c r="A298" i="1" s="1"/>
  <c r="A304" i="1" l="1"/>
  <c r="A307" i="1"/>
  <c r="A312" i="1" s="1"/>
  <c r="A316" i="1" l="1"/>
  <c r="A323" i="1" l="1"/>
  <c r="A326" i="1" l="1"/>
  <c r="A331" i="1" l="1"/>
  <c r="A340" i="1" l="1"/>
  <c r="A353" i="1" l="1"/>
  <c r="A363" i="1" l="1"/>
  <c r="A369" i="1" l="1"/>
  <c r="A376" i="1" l="1"/>
  <c r="A382" i="1" s="1"/>
  <c r="A385" i="1" s="1"/>
  <c r="A389" i="1" l="1"/>
  <c r="A394" i="1" l="1"/>
  <c r="A400" i="1" s="1"/>
  <c r="A404" i="1" s="1"/>
  <c r="A410" i="1" s="1"/>
  <c r="A416" i="1" s="1"/>
  <c r="A419" i="1" s="1"/>
  <c r="A424" i="1" s="1"/>
  <c r="A432" i="1" s="1"/>
  <c r="A435" i="1" s="1"/>
  <c r="A447" i="1" s="1"/>
  <c r="A450" i="1" s="1"/>
  <c r="A453" i="1" s="1"/>
  <c r="A457" i="1" s="1"/>
  <c r="A462" i="1" s="1"/>
  <c r="A465" i="1" s="1"/>
  <c r="A469" i="1" s="1"/>
  <c r="A474" i="1" s="1"/>
  <c r="A477" i="1" s="1"/>
  <c r="A481" i="1" s="1"/>
  <c r="A487" i="1" s="1"/>
  <c r="A490" i="1" s="1"/>
  <c r="A493" i="1" s="1"/>
  <c r="A498" i="1" s="1"/>
  <c r="A501" i="1" l="1"/>
  <c r="A504" i="1" s="1"/>
  <c r="A507" i="1" s="1"/>
  <c r="A512" i="1" l="1"/>
  <c r="A516" i="1" s="1"/>
  <c r="A519" i="1" s="1"/>
  <c r="A522" i="1" l="1"/>
  <c r="A525" i="1" s="1"/>
  <c r="A528" i="1" s="1"/>
  <c r="A531" i="1" l="1"/>
  <c r="A534" i="1" s="1"/>
  <c r="A541" i="1" l="1"/>
  <c r="A545" i="1" s="1"/>
  <c r="A552" i="1" s="1"/>
  <c r="A557" i="1" l="1"/>
  <c r="A562" i="1" s="1"/>
  <c r="A566" i="1" l="1"/>
  <c r="A571" i="1" s="1"/>
  <c r="A574" i="1" l="1"/>
  <c r="A578" i="1" s="1"/>
  <c r="A582" i="1" s="1"/>
  <c r="A586" i="1" s="1"/>
  <c r="A591" i="1" l="1"/>
  <c r="A596" i="1" s="1"/>
  <c r="A602" i="1" l="1"/>
  <c r="A606" i="1" l="1"/>
  <c r="A609" i="1" s="1"/>
  <c r="A622" i="1" l="1"/>
  <c r="A629" i="1" s="1"/>
  <c r="A643" i="1" s="1"/>
  <c r="A650" i="1" l="1"/>
  <c r="A654" i="1" s="1"/>
  <c r="A658" i="1" s="1"/>
  <c r="A662" i="1" s="1"/>
  <c r="H132" i="1"/>
  <c r="H131" i="1" s="1"/>
  <c r="A669" i="1" l="1"/>
  <c r="A686" i="1" s="1"/>
  <c r="A690" i="1" s="1"/>
  <c r="A695" i="1" s="1"/>
  <c r="A710" i="1" s="1"/>
</calcChain>
</file>

<file path=xl/sharedStrings.xml><?xml version="1.0" encoding="utf-8"?>
<sst xmlns="http://schemas.openxmlformats.org/spreadsheetml/2006/main" count="1400" uniqueCount="824">
  <si>
    <t>Stavba:</t>
  </si>
  <si>
    <t>Objekt:</t>
  </si>
  <si>
    <t>C.P.</t>
  </si>
  <si>
    <t>POLOŽKA</t>
  </si>
  <si>
    <t>VÝKAZ VÝMER</t>
  </si>
  <si>
    <t>M. J.</t>
  </si>
  <si>
    <t>MNOŽSTVO</t>
  </si>
  <si>
    <t>KÓD KP</t>
  </si>
  <si>
    <t>KÓD PP</t>
  </si>
  <si>
    <t>45.11.11</t>
  </si>
  <si>
    <t>m3</t>
  </si>
  <si>
    <t>ks</t>
  </si>
  <si>
    <t>m2</t>
  </si>
  <si>
    <t>m</t>
  </si>
  <si>
    <t>05080200</t>
  </si>
  <si>
    <t>Doprava vybúraných hmôt vodorovná</t>
  </si>
  <si>
    <t>t</t>
  </si>
  <si>
    <t>0508020003</t>
  </si>
  <si>
    <t>Doprava vybúraných hmôt vodorovná, nad 1 km</t>
  </si>
  <si>
    <t>01060204</t>
  </si>
  <si>
    <t>45.11.24</t>
  </si>
  <si>
    <t>45.00.00</t>
  </si>
  <si>
    <t>00010401</t>
  </si>
  <si>
    <t>Zmluvné požiadavky poplatky za skládky vybúraných hmôt a sutí</t>
  </si>
  <si>
    <t>00010404</t>
  </si>
  <si>
    <t>Zmluvné požiadavky poplatky za skládky travín, krovia, mačiny,lesnej hrabanky</t>
  </si>
  <si>
    <t>05010305</t>
  </si>
  <si>
    <t>Búranie konštrukcií stropov, klenieb, schodov železobetónových</t>
  </si>
  <si>
    <t>05020131</t>
  </si>
  <si>
    <t>Vybúranie, odstránenie konštrukcií - izolácie povlakovej</t>
  </si>
  <si>
    <t>05020907</t>
  </si>
  <si>
    <t>05040104</t>
  </si>
  <si>
    <t>Odstránenie konštrukcií vodných korýt a vo vodných tokoch, dlažieb včítane podkladov z betónu</t>
  </si>
  <si>
    <t>05090205</t>
  </si>
  <si>
    <t>Doplňujúce práce, úprava stavebných konštrukcií vysokotlakým vodným lúčom železobetónových</t>
  </si>
  <si>
    <t>0509020501</t>
  </si>
  <si>
    <t>Doplňujúce práce, úprava stavebných konštrukcií vysokotlakým vodným lúčom železobetónových, čistenie</t>
  </si>
  <si>
    <t>21251161</t>
  </si>
  <si>
    <t>Doplňujúce konštrukcie, špeciálne pomocné, ošetrenie betonárskej výstuže</t>
  </si>
  <si>
    <t>45.11.12</t>
  </si>
  <si>
    <t>11200101</t>
  </si>
  <si>
    <t>Podkladné konštrukcie, podkladné vrstvy, z betónu prostého</t>
  </si>
  <si>
    <t>11200111</t>
  </si>
  <si>
    <t>Podkladné konštrukcie, podkladné vrstvy, debnenie tradičné</t>
  </si>
  <si>
    <t>1120011101</t>
  </si>
  <si>
    <t>Podkladné konštrukcie, podkladné vrstvy, debnenie tradičné drevené</t>
  </si>
  <si>
    <t>13071613</t>
  </si>
  <si>
    <t>Vonkajšie povrchy podhľadov, reprofilácia vodor. plôch maltou sanačnou</t>
  </si>
  <si>
    <t>13071513</t>
  </si>
  <si>
    <t>Vonkajšie povrchy podhľadov, reprofilácia podhľadov maltou sanačnou</t>
  </si>
  <si>
    <t>sub.</t>
  </si>
  <si>
    <t>00030705</t>
  </si>
  <si>
    <t>Staveniskové náklady zhotoviteľa pomocné práce zhotovovacie alebo zaisťovacie lešenia</t>
  </si>
  <si>
    <t>01010001</t>
  </si>
  <si>
    <t>Pripravné práce, všeobecné vypratanie zastavaných území</t>
  </si>
  <si>
    <t>na skládku odpadu spolu</t>
  </si>
  <si>
    <t>odvoz do zberných surovín</t>
  </si>
  <si>
    <t>Odvoz sute a vybúraných hmôt spolu</t>
  </si>
  <si>
    <t>45.22.11</t>
  </si>
  <si>
    <t>45.23.32</t>
  </si>
  <si>
    <t>45.24.70</t>
  </si>
  <si>
    <t>45.44.20</t>
  </si>
  <si>
    <t>45.11.25</t>
  </si>
  <si>
    <t>Stavebné práce na mostoch</t>
  </si>
  <si>
    <t>31210308</t>
  </si>
  <si>
    <t>Spevnené plochy, dlažby z betónových dielcov, tvárnic</t>
  </si>
  <si>
    <t>3121030801</t>
  </si>
  <si>
    <t>Spevnené plochy, dlažby z betónových dielcov, tvárnic hmotnosť do 60 kg</t>
  </si>
  <si>
    <t>Premiestnenie  vodorovné nad 3 000 m</t>
  </si>
  <si>
    <t>45.22.38</t>
  </si>
  <si>
    <t>Kompletovanie a montáž prefabrikovaných konštrukcií</t>
  </si>
  <si>
    <t>15090101</t>
  </si>
  <si>
    <t>Schodiskové konštrukcie plošné, z dielcov betónových</t>
  </si>
  <si>
    <t>odvoz do vzd. 40 km s naložením a vykládkou</t>
  </si>
  <si>
    <t>22250980</t>
  </si>
  <si>
    <t>Doplňujúce konštrukcie,  obrubníky chodníkové</t>
  </si>
  <si>
    <t>2225098001</t>
  </si>
  <si>
    <t>Doplňujúce konštrukcie,  obrubníky chodníkové betónové</t>
  </si>
  <si>
    <t>Práce na vrchnej stavbe diaľníc, ciest, ulíc, chodníkov a nekrytých parkovísk</t>
  </si>
  <si>
    <t>Nanášanie ochranných vrstiev - maliarske a natieračské práce</t>
  </si>
  <si>
    <t>45.41.10</t>
  </si>
  <si>
    <t>Práce na hrubej stavbe úprav tokov, hrádzí, zavlažovacích kanálov a akvaduktov</t>
  </si>
  <si>
    <t>Omietkárske práce</t>
  </si>
  <si>
    <t>Vybúranie konštrukcií a demontáže, rôznych predmetov kovových</t>
  </si>
  <si>
    <t>05010812</t>
  </si>
  <si>
    <t>Búranie konštrukcií, otlčenie omietok a odstránenie povrchových úprav cementových</t>
  </si>
  <si>
    <t>05090461</t>
  </si>
  <si>
    <t>Doplňujúce práce, diamantové rezanie betónového krytu, podkladu</t>
  </si>
  <si>
    <t>01010103</t>
  </si>
  <si>
    <t>Pripravné práce, odstránenie porastov krovín</t>
  </si>
  <si>
    <t>0101010301</t>
  </si>
  <si>
    <t>Pripravné práce, odstránenie porastov krovín na suchu</t>
  </si>
  <si>
    <t>11090211</t>
  </si>
  <si>
    <t>Schodiskové konštrukcie, stupne, debnenie tradičné</t>
  </si>
  <si>
    <t>1109021101</t>
  </si>
  <si>
    <t>Schodiskové konštrukcie, stupne, debnenie tradičné drevené</t>
  </si>
  <si>
    <t>1120010103</t>
  </si>
  <si>
    <t>Podkladné konštrukcie, podkladné vrstvy z betónu prostého, tr. C 12/15 (B 15)</t>
  </si>
  <si>
    <t>05090207</t>
  </si>
  <si>
    <t>Doplňujúce práce, úprava stavebných konštrukcií vysokotlakým vodným lúčom kovových</t>
  </si>
  <si>
    <t>0509020701</t>
  </si>
  <si>
    <t>Doplňujúce práce, úprava stavebných konštrukcií vysokotlakým vodným lúčom kovových, čistenie</t>
  </si>
  <si>
    <t>13101513</t>
  </si>
  <si>
    <t>Vonkajšie povrchy stĺpov a pilierov, reprofilácia zvislých a šikmých plôch maltou sanačnou</t>
  </si>
  <si>
    <t>13070808</t>
  </si>
  <si>
    <t>Vonkajšie povrchy vodor. konštrukcií, maltovinová úprava z plastických maltovín</t>
  </si>
  <si>
    <t>1307080801</t>
  </si>
  <si>
    <t>Vonkajšie povrchy vodor. konštrukcií, maltovinová úprava z plastických maltovín, jednovrstvová</t>
  </si>
  <si>
    <t>84010107</t>
  </si>
  <si>
    <t>Náter oceľových konštrukcií, farba epoxidová</t>
  </si>
  <si>
    <t>8401010701</t>
  </si>
  <si>
    <t>Náter oceľových konštrukcií, farba epoxidová, základný</t>
  </si>
  <si>
    <t>8401010702</t>
  </si>
  <si>
    <t>Náter oceľových konštrukcií, farba epoxidová, jednonásobný</t>
  </si>
  <si>
    <t>84010110</t>
  </si>
  <si>
    <t>Náter oceľových konštrukcií, farba polyuretanová</t>
  </si>
  <si>
    <t>8401011002</t>
  </si>
  <si>
    <t>Náter oceľových konštrukcií, farba polyuretanová, jednonásobný</t>
  </si>
  <si>
    <t>84010807</t>
  </si>
  <si>
    <t>Náter omietok a betónových povrchov, farba epoxidová</t>
  </si>
  <si>
    <t>8401080703</t>
  </si>
  <si>
    <t>Náter omietok a betónových povrchov, farba epoxidová, mostoviek</t>
  </si>
  <si>
    <t>84010810</t>
  </si>
  <si>
    <t>Náter omietok a betónových povrchov, impregnačný polyuretánový náter</t>
  </si>
  <si>
    <t>8401081003</t>
  </si>
  <si>
    <t>Náter omietok a betónových povrchov, impregnačný polyuretánový náter mostoviek</t>
  </si>
  <si>
    <t>21250424</t>
  </si>
  <si>
    <t>Doplňujúce konštrukcie, dilatačné zariadenia, tesnenie dilatačných škár</t>
  </si>
  <si>
    <t>2125042403</t>
  </si>
  <si>
    <t>Doplňujúce konštrukcie, dilatačné zariadenia, tesnenie dilatačných škár polyuretánovým tmelom</t>
  </si>
  <si>
    <t>Všeobecné položky v procese obstarávania stavieb</t>
  </si>
  <si>
    <t>Demolačné práce</t>
  </si>
  <si>
    <t>Úprava staveniska a vyčisťovacie práce</t>
  </si>
  <si>
    <t>Výkopové práce</t>
  </si>
  <si>
    <t>01030102</t>
  </si>
  <si>
    <t>Hĺbené vykopávky jám nezapažených</t>
  </si>
  <si>
    <t>0103010207</t>
  </si>
  <si>
    <t>Hĺbené vykopávky jám nezapažených, tr. horniny 1-4</t>
  </si>
  <si>
    <t>01040402</t>
  </si>
  <si>
    <t>Konštrukcie z hornín - zásypy so zhutnením</t>
  </si>
  <si>
    <t>0104040207</t>
  </si>
  <si>
    <t>Konštrukcie z hornín - zásypy so zhutnením, tr. horniny 1-4</t>
  </si>
  <si>
    <t>Presun zemín</t>
  </si>
  <si>
    <t>01060700</t>
  </si>
  <si>
    <t>Premiestnenie  - nakladanie, prekladanie, vykladanie</t>
  </si>
  <si>
    <t>0106070007</t>
  </si>
  <si>
    <t>Premiestnenie  výkopku resp. rúbaniny - nakladanie, prekladanie, vykladanie,  tr. horniny 1-4</t>
  </si>
  <si>
    <t>medzivrstvový náter – epoxid 100 µm</t>
  </si>
  <si>
    <t xml:space="preserve">vrchný náter - polyuretán 80 µm
</t>
  </si>
  <si>
    <t>00060121</t>
  </si>
  <si>
    <t>Zariadenie staveniska, prevádzkové, oplotenie staveniska</t>
  </si>
  <si>
    <t>kpl.</t>
  </si>
  <si>
    <t>00000106</t>
  </si>
  <si>
    <t>Dokumentácia na vykonanie prác (DVP)</t>
  </si>
  <si>
    <t>00000107</t>
  </si>
  <si>
    <t>Dokumentácia skutočného realizovania stavby (DSRS)</t>
  </si>
  <si>
    <t>vypracovanie DSRS 3 x v tlačenej + 1 x v digit.forme</t>
  </si>
  <si>
    <t xml:space="preserve">Dokumentácia skutočného realizovania stavby </t>
  </si>
  <si>
    <t xml:space="preserve">Vypracovanie nového mostného zošita </t>
  </si>
  <si>
    <t>05010405</t>
  </si>
  <si>
    <t>Búranie konštrukcií trámov, nosníkov, prievlakov, konzolových prvkov železobetónových</t>
  </si>
  <si>
    <t>ľavá rímsa</t>
  </si>
  <si>
    <t>0,34*(35,19+69,48+69,48+69,48+69,48+70,06+77,63+36,34+78,48+35,17+2*3)=</t>
  </si>
  <si>
    <t>pravá rímsa</t>
  </si>
  <si>
    <t>0,311*(35,19+69,48+69,48+69,48+69,48+70,06+77,63+36,34+78,48+35,17+2*3)=</t>
  </si>
  <si>
    <t>prechodové dosky</t>
  </si>
  <si>
    <t>05010304</t>
  </si>
  <si>
    <t>Búranie konštrukcií stropov, klenieb, schodov betónových, sklobetónových</t>
  </si>
  <si>
    <t>podkladný betón prechodových dosiek</t>
  </si>
  <si>
    <t>7,2*11,4*0,15*2=</t>
  </si>
  <si>
    <t>7*11*0,35*2=</t>
  </si>
  <si>
    <t>05030166</t>
  </si>
  <si>
    <t>Odstránenie spevnených plôch vozoviek a doplňujúcich konštrukcií krytov dlaždených</t>
  </si>
  <si>
    <t>0503016601</t>
  </si>
  <si>
    <t>Odstránenie spevnených plôch vozoviek a doplňujúcich konštrukcií krytov dlaždených hr.do 100 mm</t>
  </si>
  <si>
    <t>búranie spevnenia pod mostom - výmena spevňujúcich dielcov:     1,5*(149+102)*0,1+1,5*(10,2+7,1)*0,5=</t>
  </si>
  <si>
    <t>05030407</t>
  </si>
  <si>
    <t>Odstránenie spevnených plôch vozoviek a doplňujúcich konštrukcií zvodidiel, zábradlia, stien, oplotení kovových</t>
  </si>
  <si>
    <t>28,0+28,0=</t>
  </si>
  <si>
    <t>05030401</t>
  </si>
  <si>
    <t>Odstránenie spevnených plôch vozoviek a doplňujúcich konštrukcií zvodidiel, zábradlia, stien, oplotení z dielcov prefabrikovaných</t>
  </si>
  <si>
    <t>demontáž zvodidla mostného vrátane  zábrany proti preliezaniu</t>
  </si>
  <si>
    <t>624,0+624,0=</t>
  </si>
  <si>
    <t>demontáž zvodidla cestného vrátane zvodníc</t>
  </si>
  <si>
    <t>05090362</t>
  </si>
  <si>
    <t>Doplňujúce práce, frézovanie bitúmenového krytu, podkladu</t>
  </si>
  <si>
    <t>báleš + asfaltový lak + mastix 5+10 mm:     10,75*(35,19+69,48+69,48+69,48+69,48+70,06+77,63+36,34+78,48+35,17)=</t>
  </si>
  <si>
    <t>asfaltový koberec mastixový 40 mm:     2*50*11,75=</t>
  </si>
  <si>
    <t>0509036203</t>
  </si>
  <si>
    <t>Doplňujúce práce, frézovanie bitúmenového krytu, podkladu hr. 40 mm</t>
  </si>
  <si>
    <t>vozovka na diaľnici</t>
  </si>
  <si>
    <t>0509036204</t>
  </si>
  <si>
    <t>Doplňujúce práce, frézovanie bitúmenového krytu, podkladu hr. 50 mm</t>
  </si>
  <si>
    <t>asfaltový betón 50 mm:     2*14,6*11,75=</t>
  </si>
  <si>
    <t>05030261</t>
  </si>
  <si>
    <t>Odstránenie spevnených plôch vozoviek a doplňujúcich konštrukcií podkladov z betónu prostého</t>
  </si>
  <si>
    <t>0503026102</t>
  </si>
  <si>
    <t>Odstránenie spevnených plôch vozoviek a doplňujúcich konštrukcií podkladov z betónu prostého hr. nad 100 do 200 mm</t>
  </si>
  <si>
    <t>cementová stabilizácia 200 mm:     2*10*11,75=</t>
  </si>
  <si>
    <t>05030264</t>
  </si>
  <si>
    <t>Odstránenie spevnených plôch vozoviek a doplňujúcich konštrukcií podkladov z kameniva hrubého drveného</t>
  </si>
  <si>
    <t>0503026403</t>
  </si>
  <si>
    <t>Odstránenie spevnených plôch vozoviek a doplňujúcich konštrukcií podkladov z kameniva hrubého drveného hr. nad 200 do 300 mm</t>
  </si>
  <si>
    <t>štrkodrva 220 mm:     2*13*11,75=</t>
  </si>
  <si>
    <t>22251489</t>
  </si>
  <si>
    <t>Doplňujúce konštrukcie,  pri stavbe krytov komunikácií, brúsenie,zdrsnenie</t>
  </si>
  <si>
    <t>2225148901</t>
  </si>
  <si>
    <t>Doplňujúce konštrukcie,  pri stavbe krytov komunikácií, brúsenie,zdrsnenie cementobetónového krytu</t>
  </si>
  <si>
    <t xml:space="preserve">čistenie nosnej konštrukcie tlakovou vodou 80-100 MPa </t>
  </si>
  <si>
    <t>zvislé plochy:     4,87*615,4=</t>
  </si>
  <si>
    <t>podhľad:     13,125*615,4=</t>
  </si>
  <si>
    <t>vodorovné plochy:     13,125*615,4=</t>
  </si>
  <si>
    <t>čistenie spodnej stavby</t>
  </si>
  <si>
    <t>zvislé plochy:     2636+(5+1,25)*2*0,15*16=</t>
  </si>
  <si>
    <t>podhľad:</t>
  </si>
  <si>
    <t xml:space="preserve">vodorovné plochy: </t>
  </si>
  <si>
    <t>medzisúčet</t>
  </si>
  <si>
    <t>mechanické čistenie nosnej konštrukcie</t>
  </si>
  <si>
    <t>05090405</t>
  </si>
  <si>
    <t>Doplňujúce práce, diamantové rezanie betónovej konštrukcie</t>
  </si>
  <si>
    <t>zarezanie škáry  prechodová doska:     2*11=</t>
  </si>
  <si>
    <t>0509046103</t>
  </si>
  <si>
    <t>Doplňujúce práce, diamantové rezanie betónového krytu, podkladu hr. nad 150 do 200 mm</t>
  </si>
  <si>
    <t>zarezanie škáry cementová stabilizácia 200 mm:     2*10,75=</t>
  </si>
  <si>
    <t>05090462</t>
  </si>
  <si>
    <t>Doplňujúce práce, diamantové rezanie bitúmenového krytu, podkladu</t>
  </si>
  <si>
    <t>0509046201</t>
  </si>
  <si>
    <t>Doplňujúce práce, diamantové rezanie bitúmenového krytu, podkladu hr. do 50 mm</t>
  </si>
  <si>
    <t>0509046202</t>
  </si>
  <si>
    <t>Doplňujúce práce, diamantové rezanie bitúmenového krytu, podkladu hr nad 50 do 100 mm</t>
  </si>
  <si>
    <t>zarezanie škáry  asfaltový koberec mastixový 40 mm:     2*10,75=</t>
  </si>
  <si>
    <t>zarezanie škáry  asfaltový betón 50 mm:     2*10,75=</t>
  </si>
  <si>
    <t>zarezanie škáry  asfaltový betón 90 mm:     2*10,75=</t>
  </si>
  <si>
    <t xml:space="preserve">vyčistenie okolia mosta:     613,5*13,4= </t>
  </si>
  <si>
    <t>svahové kužele:     (296+160)*1,2=</t>
  </si>
  <si>
    <t>prechodová doska:     8*13*2=</t>
  </si>
  <si>
    <t>01030201</t>
  </si>
  <si>
    <t>Hĺbené vykopávky rýh š. do 600 mm</t>
  </si>
  <si>
    <t>0103020107</t>
  </si>
  <si>
    <t>Hĺbené vykopávky rýh š. do 600 mm, tr. horniny 1-4</t>
  </si>
  <si>
    <t>schody:     (16,2+13,15)*0,6*2=</t>
  </si>
  <si>
    <t>podpery:     (5+1,25)*2*0,3*0,6*16=</t>
  </si>
  <si>
    <t xml:space="preserve">spätný zásyp </t>
  </si>
  <si>
    <t>05090500</t>
  </si>
  <si>
    <t>Jadrové vŕtanie</t>
  </si>
  <si>
    <t>0509050001</t>
  </si>
  <si>
    <t>Jadrové vŕtanie do 50 mm</t>
  </si>
  <si>
    <t>0509050004</t>
  </si>
  <si>
    <t>Jadrové vŕtanie od 150 mm do 200 mm</t>
  </si>
  <si>
    <t>Ø180 pre odvodňovače:     44*0,2*2=</t>
  </si>
  <si>
    <t>05090503</t>
  </si>
  <si>
    <t>Doplňujúce práce, vŕtanie do železobetónu</t>
  </si>
  <si>
    <t>0509050301</t>
  </si>
  <si>
    <t>Doplňujúce práce, vŕtanie do železobetónu stien</t>
  </si>
  <si>
    <t>Ø18 vlepovanie výstuže v prech doske:     74*0,2*2*2=</t>
  </si>
  <si>
    <t>odkopanie násypu pred prechodovou doskou:     2*7,0*13=</t>
  </si>
  <si>
    <t>00020801</t>
  </si>
  <si>
    <t>Požiadavky objednávateľa ostatné požiadavky geodetické zabezpečenie</t>
  </si>
  <si>
    <t>porealizačne zameranie:     13,4*623+2*50*11,75=</t>
  </si>
  <si>
    <t xml:space="preserve">rímsy v rozsahu opravy </t>
  </si>
  <si>
    <t>nosná konštrukcia po odbúraní vozovky:     11,75*615,0=</t>
  </si>
  <si>
    <t>nosná konštrukcia po odbúraní vozovky a vyrovnávacieho betonu:     13,12*615=</t>
  </si>
  <si>
    <t>nosná konštrukcia a zvršok pred ich odstránením:     13,45*623,0=</t>
  </si>
  <si>
    <t>ľavá rímsa:     0,8*(35,19+69,48+69,48+69,48+69,48+70,06+77,63+36,34+78,48+35,17+2*3)=</t>
  </si>
  <si>
    <t>pravá rímsa:     0,85*(35,19+69,48+69,48+69,48+69,48+70,06+77,63+36,34+78,48+35,17+2*3)=</t>
  </si>
  <si>
    <t>vytvorenie zásteny po celej dĺžke mosta počas trvania stavby:     614,5*2=1229,0 m2</t>
  </si>
  <si>
    <t>kríky:     547,2*0,3=</t>
  </si>
  <si>
    <t>11080102</t>
  </si>
  <si>
    <t xml:space="preserve">Vodorovné nosné konštrukcie inžinierskych stavieb, prechodové dosky z betónu železového </t>
  </si>
  <si>
    <t>1108010203</t>
  </si>
  <si>
    <t>Vodorovné nosné konštrukcie inžinierskych stavieb, prechodové dosky  z betónu železového, tr. C 12/15 (B 15)</t>
  </si>
  <si>
    <t>podkladový betón:     2*(11,55*7,2*0,15)=</t>
  </si>
  <si>
    <t>1108010207</t>
  </si>
  <si>
    <t>Vodorovné nosné konštrukcie inžinierskych stavieb, prechodové dosky  z betónu železového, tr. C 30/37 (B 35)</t>
  </si>
  <si>
    <t>2*(11,15*7*0,32+0,2*11,15)=</t>
  </si>
  <si>
    <t>11080111</t>
  </si>
  <si>
    <t>Vodorovné nosné konštrukcie inžinierskych stavieb, prechodové dosky, debnenie tradičné</t>
  </si>
  <si>
    <t>1108011101</t>
  </si>
  <si>
    <t>Vodorovné nosné konštrukcie inžinierskych stavieb, prechodové dosky, debnenie tradičné drevené</t>
  </si>
  <si>
    <t>podkladový betón:     (11,55+7,2*2)*0,15*2=</t>
  </si>
  <si>
    <t>PD + ozub:     (((2*0,2)+0,925*11,15)+(2*7+11,15)*0,32)*2=</t>
  </si>
  <si>
    <t>11080121</t>
  </si>
  <si>
    <t>Vodorovné nosné konštrukcie inžinierskych stavieb, prechodové dosky, výstuž z betonárskej ocele</t>
  </si>
  <si>
    <t>1108012106</t>
  </si>
  <si>
    <t>Vodorovné nosné konštrukcie inžinierskych stavieb, prechodové dosky, výstuž z betonárskej ocele B500B</t>
  </si>
  <si>
    <t>11050602</t>
  </si>
  <si>
    <t>Zvislé konštrukcie inžinierskych stavieb, rímsy z betónu železového</t>
  </si>
  <si>
    <t>1105060208</t>
  </si>
  <si>
    <t>Zvislé konštrukcie inžinierskych stavieb, rímsy z betónu železového, tr. C 35/45 (B 45)</t>
  </si>
  <si>
    <t>ľavá rímsa:     0,172*(35,19+69,48+69,48+69,48+69,48+70,06+77,63+36,34+78,48+35,17+2*3)=</t>
  </si>
  <si>
    <t>pravá rímsa:     0,191*(35,19+69,48+69,48+69,48+69,48+70,06+77,63+36,34+78,48+35,17+2*3)=</t>
  </si>
  <si>
    <t>11050611</t>
  </si>
  <si>
    <t>Zvislé konštrukcie inžinierskych stavieb, rímsy, debnenie tradičné</t>
  </si>
  <si>
    <t>1105061101</t>
  </si>
  <si>
    <t>Zvislé konštrukcie inžinierskych stavieb, rímsy, debnenie tradičné drevené</t>
  </si>
  <si>
    <t>ľavá rímsa:     0,245*(35,19+69,48+69,48+69,48+69,48+70,06+77,63+36,34+78,48+35,17+2*3)+0,172*96=</t>
  </si>
  <si>
    <t>pravá rímsa:     0,245*(35,19+69,48+69,48+69,48+69,48+70,06+77,63+36,34+78,48+35,17+2*3)+0,191*96=</t>
  </si>
  <si>
    <t>11050613</t>
  </si>
  <si>
    <t>Zvislé konštrukcie inžinierskych stavieb, rímsy, debnenie zabudované</t>
  </si>
  <si>
    <t>ľavá rímsa:     0,225*(35,19+69,48+69,48+69,48+69,48+70,06+77,63+36,34+78,48+35,17+2*3)=</t>
  </si>
  <si>
    <t>pravá rímsa:     0,225*(35,19+69,48+69,48+69,48+69,48+70,06+77,63+36,34+78,48+35,17+2*3)=</t>
  </si>
  <si>
    <t>11050621</t>
  </si>
  <si>
    <t>Zvislé konštrukcie inžinierskych stavieb, rímsy, výstuž z betonárskej ocele</t>
  </si>
  <si>
    <t>1105062106</t>
  </si>
  <si>
    <t>Zvislé konštrukcie inžinierskych stavieb, rímsy, výstuž z betonárskej ocele B500B</t>
  </si>
  <si>
    <t>15020407</t>
  </si>
  <si>
    <t>Múry, rímsy z dielcov polymérbetónových</t>
  </si>
  <si>
    <t>rímsove prefabrikáty polymerbetón hr 40 mm, dĺžka 1,0 m, výška 0,7 m, 1239 ks</t>
  </si>
  <si>
    <t>0,04*1,0*0,4*1239=</t>
  </si>
  <si>
    <t>1105061303</t>
  </si>
  <si>
    <t>Zvislé konštrukcie inžinierskych stavieb, rímsy, debnenie zabudované betónové, železobetónové</t>
  </si>
  <si>
    <t>21250907</t>
  </si>
  <si>
    <t xml:space="preserve">Doplňujúce konštrukcie, drobné zariadenia oceľové </t>
  </si>
  <si>
    <t>kotvy ríms</t>
  </si>
  <si>
    <t>ľavá rímsa:     (35,19+69,48+69,48+69,48+69,48+70,06+77,63+36,34+78,48+35,17+2*3)=</t>
  </si>
  <si>
    <t>pravá rímsa:      (35,19+69,48+69,48+69,48+69,48+70,06+77,63+36,34+78,48+35,17+2*3)=</t>
  </si>
  <si>
    <t>rímsa - rímsovy prefabrikát, šírka 20 mm, hĺbka 20 mm:     616+3*2+615,5+3*2</t>
  </si>
  <si>
    <t>0,6*0,13*0,75*37+0,5*0,195*0,75*16+0,5*0,18*0,75*34=</t>
  </si>
  <si>
    <t>prefabrikované schodiskové stupne  - C25/30, 87 kusov</t>
  </si>
  <si>
    <t>11090202</t>
  </si>
  <si>
    <t>Schodiskové konštrukcie, stupne z betónu železového</t>
  </si>
  <si>
    <t>1109020207</t>
  </si>
  <si>
    <t>Schodiskové konštrukcie, stupne z betónu železového, tr. C 30/37 (B 35)</t>
  </si>
  <si>
    <t>5,53*1,15+7,42*0,4+4,33*1,15+4,95*0,4=</t>
  </si>
  <si>
    <t>(12,95+2,8+9,27+2,06+2,3*2)*2=</t>
  </si>
  <si>
    <t>31200102</t>
  </si>
  <si>
    <t>3120010201</t>
  </si>
  <si>
    <t>Podkladné konštrukcie pod dlažbu, štrkodrva</t>
  </si>
  <si>
    <t>Podkladné konštrukcie pod dlažbu, štrkodrva hr. do 200 mm</t>
  </si>
  <si>
    <t>pod schodiskom, fr. 0/32:     (0,4+0,46+0,42+0,45+0,5)*1,2=</t>
  </si>
  <si>
    <t>11080202</t>
  </si>
  <si>
    <t>Vodorovné nosné konštrukcie inžinierskych stavieb, mostné dosky z betónu železového</t>
  </si>
  <si>
    <t>1108020207</t>
  </si>
  <si>
    <t>Vodorovné nosné konštrukcie inžinierskych stavieb, mostné dosky  z betónu železového, tr. C 30/37 (B 35)</t>
  </si>
  <si>
    <t>vyrovnávací betón:      1,25*(35,19+69,48+69,48+69,48+69,48+70,06+77,63+36,34+78,48+35,17)=</t>
  </si>
  <si>
    <t>11080211</t>
  </si>
  <si>
    <t>Vodorovné nosné konštrukcie inžinierskych stavieb, mostné dosky, debnenie tradičné</t>
  </si>
  <si>
    <t>1108021101</t>
  </si>
  <si>
    <t>Vodorovné nosné konštrukcie inžinierskych stavieb, mostné dosky, debnenie tradičné drevené</t>
  </si>
  <si>
    <t>vyrovnávací betón:     (0,15+0,11)*(35,19+69,48+69,48+69,48+69,48+70,06+77,63+36,34+78,48+35,17)=</t>
  </si>
  <si>
    <t>11080221</t>
  </si>
  <si>
    <t>Vodorovné nosné konštrukcie inžinierskych stavieb, mostné dosky, výstuž z betonárskej ocele</t>
  </si>
  <si>
    <t>21250108</t>
  </si>
  <si>
    <t>Doplňujúce konštrukcie, zvodidlá oceľové zábradeľné, úroveň zachytenia H3</t>
  </si>
  <si>
    <t>22250362</t>
  </si>
  <si>
    <t>Doplňujúce konštrukcie, zvodidlá oceľové</t>
  </si>
  <si>
    <t>2225036201</t>
  </si>
  <si>
    <t>Doplňujúce konštrukcie, zvodidlá oceľové s jednou zvodnicou</t>
  </si>
  <si>
    <t>cestné zvodidlo H2:     28,0+28,0=</t>
  </si>
  <si>
    <t>zahustenie stĺpikov po 2 m pôvodného zvodidla na dĺžke 28,0+28,0=56,0 m</t>
  </si>
  <si>
    <t>22250465</t>
  </si>
  <si>
    <t>Doplňujúce konštrukcie,  ochranné zariadenia, nádstavce na zvodidlá</t>
  </si>
  <si>
    <t>smerový stĺpik na zvodidlo:     20,0+20,0=</t>
  </si>
  <si>
    <t>smerový stĺpik na zvodidlo s výstrahou:     20,0+20,0=</t>
  </si>
  <si>
    <t>00020605</t>
  </si>
  <si>
    <t>Požiadavky objednávateľa pomocné práce zhotovovacie alebo zaisťovacie lešenia</t>
  </si>
  <si>
    <t>21250320</t>
  </si>
  <si>
    <t>Doplňujúce konštrukcie, odvodnenie mostov, odvodňovače</t>
  </si>
  <si>
    <t>mostný odvodňovač 500 x 300 mm</t>
  </si>
  <si>
    <t>21250321</t>
  </si>
  <si>
    <t>Doplňujúce konštrukcie, odvodnenie mostov, odvodňovacie potrubie</t>
  </si>
  <si>
    <t>21250422</t>
  </si>
  <si>
    <t>Doplňujúce konštrukcie, dilatačné zariadenia, výplň dilatačných škár</t>
  </si>
  <si>
    <t>2125042204</t>
  </si>
  <si>
    <t>Doplňujúce konštrukcie, dilatačné zariadenia, výplň dilatačných škár z polystyrénu</t>
  </si>
  <si>
    <t>21250528</t>
  </si>
  <si>
    <t>Doplňujúce konštrukcie, mostné zábrany a ochrany, protidotykové zábrany</t>
  </si>
  <si>
    <t>2125052802</t>
  </si>
  <si>
    <t>Doplňujúce konštrukcie, mostné zábrany a ochrany, protidotykové zábrany, sieť</t>
  </si>
  <si>
    <t>2125052803</t>
  </si>
  <si>
    <t>Doplňujúce konštrukcie, mostné zábrany a ochrany, protidotykové zábrany, rošt</t>
  </si>
  <si>
    <t>spätná montáž demontovaných kompozitných zábran</t>
  </si>
  <si>
    <t>24*1,13=</t>
  </si>
  <si>
    <t>2*3,4=</t>
  </si>
  <si>
    <t>22030643</t>
  </si>
  <si>
    <t>Podkladné a krycie vrstvy z asfaltových zmesí, bitúmenové vrstvy, asfaltový koberec drenážny</t>
  </si>
  <si>
    <t>2203064302</t>
  </si>
  <si>
    <t>Podkladné a krycie vrstvy z asfaltových zmesí, bitúmenové vrstvy, asfaltový koberec drenážny z plastbetónu</t>
  </si>
  <si>
    <t>22030330</t>
  </si>
  <si>
    <t>Podkladné a krycie vrstvy z asfaltových zmesí, bitúmenové postreky, nátery,posypy spojovací postrek</t>
  </si>
  <si>
    <t>22030640</t>
  </si>
  <si>
    <t>Podkladné a krycie vrstvy z asfaltových zmesí, bitúmenové vrstvy, asfaltový betón</t>
  </si>
  <si>
    <t>2203064004</t>
  </si>
  <si>
    <t>Podkladné a krycie vrstvy z asfaltových zmesí, bitúmenové vrstvy, asfaltový betón  triedy I modifikovaný</t>
  </si>
  <si>
    <t>asfaltový betón modifikovaný AC16 L - 50 mm:     (14,65+14,65)*11,25*0,05=</t>
  </si>
  <si>
    <t>asfaltový betón modifikovaný AC22 P - 90 mm:     (13,65+13,65)*11,25*0,09=</t>
  </si>
  <si>
    <t>22030641</t>
  </si>
  <si>
    <t>Podkladné a krycie vrstvy z asfaltových zmesí, bitúmenové vrstvy, asfaltový koberec mastixový</t>
  </si>
  <si>
    <t>2203064101</t>
  </si>
  <si>
    <t>Podkladné a krycie vrstvy z asfaltových zmesí, bitúmenové vrstvy, asfaltový koberec mastixový triedy I</t>
  </si>
  <si>
    <t>45.23.33</t>
  </si>
  <si>
    <t>Práce na spodnej stavby diaľnic, ciest, ulíc a chodníkov a nekrytých parkovísk</t>
  </si>
  <si>
    <t>22020210</t>
  </si>
  <si>
    <t>Podkladné a krycie vrstvy s hydraulickým spojivom, stabilizované z miešacieho centra cementom</t>
  </si>
  <si>
    <t>22010104</t>
  </si>
  <si>
    <t>Podkladné a krycie vrstvy bez spojiva nestmelené, štrkodrva</t>
  </si>
  <si>
    <t>cementová stabilizácia CBGM C5/6 - 200 mm:     (12,8+12,8)*11,25*0,2=</t>
  </si>
  <si>
    <t>štrkodrvina ŠD 31,5 Gc - 220 mm:     (10,0+10,0)*11,25*0,22=</t>
  </si>
  <si>
    <t>22030329</t>
  </si>
  <si>
    <t>Podkladné a krycie vrstvy z asfaltových zmesí, bitúmenové postreky, nátery,posypy infiltračný postrek</t>
  </si>
  <si>
    <t>(13,65+13,65)*11,25=</t>
  </si>
  <si>
    <t>2203032902</t>
  </si>
  <si>
    <t>Podkladné a krycie vrstvy z asfaltových zmesí, bitúmenové postreky, nátery,posypy infiltračný postrek z modifikovaného asfaltu</t>
  </si>
  <si>
    <t>vozovka diaľnica:     551+550+(14,65+14,65)*11,25=</t>
  </si>
  <si>
    <t>vozovka diaľnica:    (551+550)*0,04=</t>
  </si>
  <si>
    <t>vozovka most:         6637,0*0,04=</t>
  </si>
  <si>
    <t>vozovka diaľnica</t>
  </si>
  <si>
    <t>22030744</t>
  </si>
  <si>
    <t>Podkladné a krycie vrstvy z asfaltových zmesí, liaty asfalt, cestný</t>
  </si>
  <si>
    <t>liaty asfalt MA11 PMB - 40 mm:     53,75*16*0,04=</t>
  </si>
  <si>
    <t>22030334</t>
  </si>
  <si>
    <t>Podkladné a krycie vrstvy z asfaltových zmesí, bitúmenové postreky, nátery, posypy posyp podkladu alebo krytu</t>
  </si>
  <si>
    <t>2203033402</t>
  </si>
  <si>
    <t>Podkladné a krycie vrstvy z asfaltových zmesí, bitúmenové postreky, nátery, posypy posyp podkladu alebo krytu predobalenou drvou</t>
  </si>
  <si>
    <t>vozovka most:     6637,0+53,75*16=</t>
  </si>
  <si>
    <t>45.26.14</t>
  </si>
  <si>
    <t>Izolačné práce proti vode</t>
  </si>
  <si>
    <t>61010502</t>
  </si>
  <si>
    <t>Izolácie proti vode a zemnej vlhkosti, mostoviek pásmi</t>
  </si>
  <si>
    <t>6101050201</t>
  </si>
  <si>
    <t>Izolácie proti vode a zemnej vlhkosti, mostoviek pásmi na ploche vodorovnej</t>
  </si>
  <si>
    <t>22250570</t>
  </si>
  <si>
    <t>Doplňujúce konštrukcie, značky staničenia a geodetické body, meračské značky</t>
  </si>
  <si>
    <t>22250671</t>
  </si>
  <si>
    <t>Doplňujúce konštrukcie,  zvislé dopravné značky, normálny alebo zväčšený rozmer</t>
  </si>
  <si>
    <t>2225067101</t>
  </si>
  <si>
    <t>Doplňujúce konštrukcie,  zvislé dopravné značky, normálny alebo zväčšený rozmer oceľové</t>
  </si>
  <si>
    <t>pozorované body:     37+37=</t>
  </si>
  <si>
    <t>evidenčné číslo mosta</t>
  </si>
  <si>
    <t>šírka 150 mm:     2*2=</t>
  </si>
  <si>
    <t>nosná konštrukcia - podhľad</t>
  </si>
  <si>
    <t>spodná stavba - podhľad</t>
  </si>
  <si>
    <t xml:space="preserve">nosná konštrukcia </t>
  </si>
  <si>
    <t>spodná stavba</t>
  </si>
  <si>
    <t>nosná konštrukcia - zvislé plochy:     4,87*615,4=</t>
  </si>
  <si>
    <t>spodná stavba - zvislé plochy:     (2636+(5+1,25)*2*0,15*16)=</t>
  </si>
  <si>
    <t>84010816</t>
  </si>
  <si>
    <t>Náter omietok a betónových povrchov, impregnačný cementový náter</t>
  </si>
  <si>
    <t>8401081603</t>
  </si>
  <si>
    <t>Náter omietok a betónových povrchov, impregnačný cementový náter mostoviek</t>
  </si>
  <si>
    <t>spojovací mostík - nosná konštrukcia - vodorovné plochy</t>
  </si>
  <si>
    <t>13,125*615,4=</t>
  </si>
  <si>
    <t>22040852</t>
  </si>
  <si>
    <t>2204085201</t>
  </si>
  <si>
    <t>Kryty dláždené,chodníkov komunikácií,rigolov - úprava škár pri opravách a vyplnenie škár elastickou zálievkou</t>
  </si>
  <si>
    <t>Kryty dláždené,chodníkov komunikácií,rigolov - úprava škár pri opravách a vyplnenie škár elastickou zálievkou s predtesnením</t>
  </si>
  <si>
    <t>vozovka-rímsa:     616+10+615,4+1=</t>
  </si>
  <si>
    <t>MZ:     11*11,75*2=</t>
  </si>
  <si>
    <t>2204085202</t>
  </si>
  <si>
    <t>Kryty dláždené,chodníkov komunikácií,rigolov - úprava škár pri opravách a vyplnenie škár elastickou zálievkou bez predtesnenia</t>
  </si>
  <si>
    <t>vozovka-rímsa, šírka 20 mm:     616+10+615,4+1=</t>
  </si>
  <si>
    <t>MZ, šírka20 mm:     11*11,75*2=</t>
  </si>
  <si>
    <t>trvalo pružná zálievka - rímsa:     0,95*11*2+1,01*11*2=</t>
  </si>
  <si>
    <t>22040851</t>
  </si>
  <si>
    <t>Kryty dláždené,chodníkov komunikácií,rigolov - úprava škár pri opravách a vyplnenie škár  asfaltovou zálievkou</t>
  </si>
  <si>
    <t>zálievka kryt vozovky:    10,75*2=</t>
  </si>
  <si>
    <t>spolu</t>
  </si>
  <si>
    <t>22250185</t>
  </si>
  <si>
    <t>Doplňujúce konštrukcie,  zábradlie , kompozitné</t>
  </si>
  <si>
    <t>2225018502</t>
  </si>
  <si>
    <t>Doplňujúce konštrukcie, zábradlie kompozité, cestné</t>
  </si>
  <si>
    <t xml:space="preserve">obrokovanie povrchu vyrovnávacej vrstvy:   13,12*(35,19+69,48+69,48+69,48+69,48+70,06+77,63+36,34+78,48+35,17)=  </t>
  </si>
  <si>
    <t>45.34.20</t>
  </si>
  <si>
    <t>Montáž oplotenia</t>
  </si>
  <si>
    <t>67110500</t>
  </si>
  <si>
    <t>Oplotenie,  vráta a vrátka oplotenia</t>
  </si>
  <si>
    <t>6711050002</t>
  </si>
  <si>
    <t>Oplotenie,  vráta a vrátka oplotenia  na stĺpiky oceľové</t>
  </si>
  <si>
    <t>22251287</t>
  </si>
  <si>
    <t>Doplňujúce konštrukcie,  kábelovody z rúr oceľových</t>
  </si>
  <si>
    <t>05020882</t>
  </si>
  <si>
    <t>Vybúranie konštrukcií a demontáže, vonkajších oceľových potrubí pre ďalšie použitie</t>
  </si>
  <si>
    <t>0502088210</t>
  </si>
  <si>
    <t>Vybúranie konštrukcií a demontáže, vonkajších oceľových potrubí pre ďalšie použitie, do 10 kg</t>
  </si>
  <si>
    <t>spevnenie pod mostom - výmena spevňujúcich dielcov:     1,5*(149+102)*0,1+1,5*(10,2+7,1)*0,5=</t>
  </si>
  <si>
    <t>22040317</t>
  </si>
  <si>
    <t>Kryty dláždené,chodníkov komunikácií,rigolov z dlaždíc betónových</t>
  </si>
  <si>
    <t>prechodové bloky ríms:     (0,5+3,9)*0,15=</t>
  </si>
  <si>
    <t>medzi schodiskom a krídlom:     1,5*(10,2+7,1)*0,5*0,15=</t>
  </si>
  <si>
    <t>22040854</t>
  </si>
  <si>
    <t>Kryty dláždené,chodníkov komunikácií,rigolov - úprava škár pri opravách a vyplnenie škár maltou</t>
  </si>
  <si>
    <t>spevnenie pod mostom - doplnenie škárovania:     1,5*(149+102)*0,3=</t>
  </si>
  <si>
    <t>22251161</t>
  </si>
  <si>
    <t>Doplňujúce konštrukcie,  otvorené žľaby z betónových tvárnic</t>
  </si>
  <si>
    <t>2225116102</t>
  </si>
  <si>
    <t>Doplňujúce konštrukcie, otvorené žľaby z betónových tvárnic š. nad 500 mm</t>
  </si>
  <si>
    <t>22020417</t>
  </si>
  <si>
    <t>Podkladné a krycie vrstvy s hydraulickým spojivom, cementobetónové jednovrstvové, beton prostý</t>
  </si>
  <si>
    <t>22010102</t>
  </si>
  <si>
    <t>Podkladné a krycie vrstvy bez spojiva nestmelené, štrkopiesok</t>
  </si>
  <si>
    <t>pod prechodovými blokmi ríms:     (0,5+3,9)*0,15=</t>
  </si>
  <si>
    <t>kotviaci impregnačný náter</t>
  </si>
  <si>
    <t>vozovka-rímsa</t>
  </si>
  <si>
    <t>ľavá rímsa:     (616+10)*0,08=</t>
  </si>
  <si>
    <t>pravá rímsa:     (615,4+1)*0,08=</t>
  </si>
  <si>
    <t xml:space="preserve">náter na zlepšenie priľnavosti </t>
  </si>
  <si>
    <t>MZ</t>
  </si>
  <si>
    <t>ľavá rímsa:     0,96*11*2*0,02=</t>
  </si>
  <si>
    <t>pravá rímsa:     1,01*11*2*0,02=</t>
  </si>
  <si>
    <t>11*11,75*0,08</t>
  </si>
  <si>
    <t>rimsa - pracovná škára</t>
  </si>
  <si>
    <t>84010817</t>
  </si>
  <si>
    <t>Náter omietok a betónových povrchov, hydrofóbny náter</t>
  </si>
  <si>
    <t>8401081702</t>
  </si>
  <si>
    <t>Náter omietok a betónových povrchov, hydrofóbny náter ríms</t>
  </si>
  <si>
    <t>ľavá rímsa:     0,800*(35,19+69,48+69,48+69,48+69,48+70,06+77,63+36,34+78,488+35,17+2*3)=</t>
  </si>
  <si>
    <t>pravá rímsa:     0,850*(35,19+69,48+69,48+69,48+69,48+70,06+77,63+36,34+78,48+35,17+2*3)=</t>
  </si>
  <si>
    <t>ľavá rímsa:     616+3*2=</t>
  </si>
  <si>
    <t>pravá rímsa:     615,5+3*2=</t>
  </si>
  <si>
    <t>rímsa - rímsovy prefabrikat, šírka 20 mm</t>
  </si>
  <si>
    <t>rímsa - pracovná škára, šírka  5 mm, hĺbka 20 mm</t>
  </si>
  <si>
    <t>separácia</t>
  </si>
  <si>
    <t>kompozitné zábradlie vrátane povrchovej úpravy, krytiek na kotvy:     16,95+13,35=</t>
  </si>
  <si>
    <t>61010501</t>
  </si>
  <si>
    <t>Izolácie proti vode a zemnej vlhkosti, mostoviek náterivami a tmelmi</t>
  </si>
  <si>
    <t>6101050101</t>
  </si>
  <si>
    <t>Izolácie proti vode a zemnej vlhkosti, mostoviek náterivami a tmelmi na ploche vodorovnej</t>
  </si>
  <si>
    <t>1x asfaltovy + 2x penetracny nater</t>
  </si>
  <si>
    <t>6101050102</t>
  </si>
  <si>
    <t>Izolácie proti vode a zemnej vlhkosti, mostoviek náterivami a tmelmi na ploche zvislej</t>
  </si>
  <si>
    <t>6101050202</t>
  </si>
  <si>
    <t>Izolácie proti vode a zemnej vlhkosti, mostoviek pásmi na ploche zvislej</t>
  </si>
  <si>
    <t>ozub + opora:     11,15*1*2=</t>
  </si>
  <si>
    <t>demontáž oplotenia diaľnice, výška 1,75 m:    2,2*2=</t>
  </si>
  <si>
    <t>šetrná demontáž protidotykovej zábrany, zrkadlo mosta, po ukončení výstavby bude spätne osadená, dĺ. 24,0 m</t>
  </si>
  <si>
    <t>05030507</t>
  </si>
  <si>
    <t>Odstránenie spevnených plôch vozoviek a doplňujúcich konštrukcií, zvislého dopravného značenia, kovových</t>
  </si>
  <si>
    <t>Ø50 odvetrávacie otvory:     306*0,2=</t>
  </si>
  <si>
    <t>0509050002</t>
  </si>
  <si>
    <t>Jadrové vŕtanie od 50 mm do 100 mm</t>
  </si>
  <si>
    <t>Ø60 odvodňovacie rúrky:     59,0*0,2*2=</t>
  </si>
  <si>
    <t>Ø10 kotvenie siete NDS:     618*0,1=</t>
  </si>
  <si>
    <t>Ø10 kotvenie zábrany proti dotyku zrkadlo:     23*2*0,1=</t>
  </si>
  <si>
    <t xml:space="preserve">medzi schodiskom a spevnením:     0,3*16= </t>
  </si>
  <si>
    <t xml:space="preserve">predĺženie spevnenia:      0,68*15,65= </t>
  </si>
  <si>
    <t>prechodové bloky ríms štrkopiesok:     (0,5+3,9)*0,15=</t>
  </si>
  <si>
    <t>medzi schodiskom a spevnením, predĺženie spevnenie:     (0,3*16+0,68*15,65)*0,15=</t>
  </si>
  <si>
    <t>zábrana proti preliezaniu, na zvodidle:     623,0*0,9=</t>
  </si>
  <si>
    <t>drenážny kanálik:    88,6*0,045=</t>
  </si>
  <si>
    <t>21250906</t>
  </si>
  <si>
    <t>Doplňujúce konštrukcie, drobné zariadenia oceľové</t>
  </si>
  <si>
    <t>hliníková lišta na opore pre kábel teploty</t>
  </si>
  <si>
    <t xml:space="preserve">objímky, plech 2*515*50 </t>
  </si>
  <si>
    <t>45.26.13</t>
  </si>
  <si>
    <t>Klampiarske práce</t>
  </si>
  <si>
    <t>64040502</t>
  </si>
  <si>
    <t>Ostatné prvky, podkladový pás, plech hliníkový</t>
  </si>
  <si>
    <t>21250908</t>
  </si>
  <si>
    <t xml:space="preserve">Doplňujúce konštrukcie, zariadenia oceľové </t>
  </si>
  <si>
    <t>kotvenie objímky M8</t>
  </si>
  <si>
    <t>kotvenie zábrany proti dotyku zrkadlo:     23*2=</t>
  </si>
  <si>
    <t>kotvenie prekrytia zrkadla:     4*2=</t>
  </si>
  <si>
    <t>22010201</t>
  </si>
  <si>
    <t>Podkladné a krycie vrstvy bez spojiva, spevnenie krajníc zo zeminy</t>
  </si>
  <si>
    <t>2201020101</t>
  </si>
  <si>
    <t>Podkladné a krycie vrstvy bez spojiva, spevnenie krajníc zo zeminy so zhutnením</t>
  </si>
  <si>
    <t>dosypanie krajnice</t>
  </si>
  <si>
    <t>22010204</t>
  </si>
  <si>
    <t>Podkladné a krycie vrstvy bez spojiva, spevnenie krajníc, štrkodrva</t>
  </si>
  <si>
    <t>štrkodrva 0/22 hrúbka 100 mm:     188,41*0,1=</t>
  </si>
  <si>
    <t>štrkodrva 0/63 hrúbka 100 mm:     188,41*1,1*0,1=</t>
  </si>
  <si>
    <t>45.26.22</t>
  </si>
  <si>
    <t>Základové práce a vŕtanie vodných studní</t>
  </si>
  <si>
    <t>02010553</t>
  </si>
  <si>
    <t>Zlepšovanie základovej pôdy, drenážne vrstvy z geosyntetického materiálu</t>
  </si>
  <si>
    <t>0201055301</t>
  </si>
  <si>
    <t>Zlepšovanie základovej pôdy, drenážne vrstvy z geosyntetického materiálu - geotextílií</t>
  </si>
  <si>
    <t>separačná geotextília - oprava krajnice:     188,41*1,2=</t>
  </si>
  <si>
    <t>sanačný systém výstuže, odhad  0,5% plochy betónu</t>
  </si>
  <si>
    <t>šírka 100 mm:     6*2+10,64=</t>
  </si>
  <si>
    <t>02060922</t>
  </si>
  <si>
    <t>Spevňovanie hornín a konštrukcií, opláštenie, spevnenie striekaným železobetónom</t>
  </si>
  <si>
    <t>0206092206</t>
  </si>
  <si>
    <t>Spevňovanie hornín a konštrukcií, opláštenie, spevnenie striekaným železobetónom tr. C25/30 (B30)</t>
  </si>
  <si>
    <t>02060949</t>
  </si>
  <si>
    <t>Spevňovanie hornín a konštrukcií, opláštenie, spevnenie sieťovinou, rohožami</t>
  </si>
  <si>
    <t>0206094903</t>
  </si>
  <si>
    <t>Spevňovanie hornín a konštrukcií, opláštenie, spevnenie sieťovinou, rohožami - protierózny geokompozit vystužený oceľovou sieťovinou</t>
  </si>
  <si>
    <t>ľavá rímsa:     0,96*118=</t>
  </si>
  <si>
    <t>pravá rímsa:     1,01*118=</t>
  </si>
  <si>
    <t>pravá rímsa:     1,04*118=</t>
  </si>
  <si>
    <t>rímsa - pracovná škára, hĺbka 20 mm:     0,96*118+1,01*118=</t>
  </si>
  <si>
    <t>ľavá rímsa:     0,96*118*0,02=</t>
  </si>
  <si>
    <t>pravá rímsa:     1,01*118*0,02=</t>
  </si>
  <si>
    <t>2125042406</t>
  </si>
  <si>
    <t>Doplňujúce konštrukcie, dilatačné zariadenia, tesnenie dilatačných škár plechom</t>
  </si>
  <si>
    <t>odvoz nevhodnej zeminy zo stavby</t>
  </si>
  <si>
    <t>výkop jám</t>
  </si>
  <si>
    <t>výkop rýh</t>
  </si>
  <si>
    <t>odstránenie izolácie na moste</t>
  </si>
  <si>
    <t>podkladový betón:      24,62*2,5=</t>
  </si>
  <si>
    <t>mechanické čistenie:     22296,25*0,07=</t>
  </si>
  <si>
    <t>odstránenie povlakovej izolácie:     6565,99*0,073=</t>
  </si>
  <si>
    <t>betón vozovka:     235,0*0,44=</t>
  </si>
  <si>
    <t>štrkodrva vozovka:     305,5*0,4=</t>
  </si>
  <si>
    <t>betónové sklzy:     24,0*0,288=</t>
  </si>
  <si>
    <t>spevnenie pod mostom:     61,92*2,2=</t>
  </si>
  <si>
    <t>odvoz do obalovačky</t>
  </si>
  <si>
    <t>obrokovanie cementobetónového krytu:     8013,56*0,056=</t>
  </si>
  <si>
    <t>Zmluvné požiadavky poplatky za skládky travín, krovia, mačiny, lesnej hrabanky</t>
  </si>
  <si>
    <t xml:space="preserve">krycie plechy:     (0,88+0,93)*11= </t>
  </si>
  <si>
    <t>prechodová doska:     ((11,15*7)+(0,32*11,15)+(0,32*7,0*2))*2=</t>
  </si>
  <si>
    <t>ozub + opora:    (0,5+0,424+0,51)*11,15*2+0,195*4</t>
  </si>
  <si>
    <t>Ø10 kotvenie prekrytia zrkadla:     4*2*0,1=</t>
  </si>
  <si>
    <t>schody - podkladový betón C12/15:    (0,42+0,46+0,4+0,5+0,45)*1,15=</t>
  </si>
  <si>
    <t>(0,42+0,46+0,4+0,5+0,45)*2=</t>
  </si>
  <si>
    <t>demontáž protidotykovej zábrany, voľný okraj mosta, dĺ. 31 m, výška 2 m</t>
  </si>
  <si>
    <t>demontáž hlinikovej lišty s káblom k tabuli teploty, vyvesenie počas sanácie, dĺ. 15 m</t>
  </si>
  <si>
    <t>demontáž betónového zvodidla, správca si ponechá:     5*4=</t>
  </si>
  <si>
    <t>šetrná demontáž dopravných značiek, budú spätne osadené na nové stĺpiky</t>
  </si>
  <si>
    <t>búranie spevnenia pod mostom v mieste nových žľabov:     1,5*(149+102)*0,1*0,3=</t>
  </si>
  <si>
    <t>prechodová doska, zásyp nakupovanou zeminou:     8*13*2=</t>
  </si>
  <si>
    <t>zásyp pred prechodovou doskou, zásyp nakupovanou zeminou:       2*7,0*13=</t>
  </si>
  <si>
    <t>podpery, zásyp zeminou zo stavby:     (5+1,25)*2*0,3*0,6*16=</t>
  </si>
  <si>
    <t>odpočet zásypu podpier</t>
  </si>
  <si>
    <t>0106020401</t>
  </si>
  <si>
    <t>Premiestnenie  výkopku resp. rúbaniny, vodorovné nad 3 000 m, tr. horniny 1-4</t>
  </si>
  <si>
    <t>01040100</t>
  </si>
  <si>
    <t>Konštrukcie z hornín - skládky</t>
  </si>
  <si>
    <t>0104010007</t>
  </si>
  <si>
    <t>Konštrukcie z hornín - skládky  tr.horniny 1-4</t>
  </si>
  <si>
    <t>medziskládka pre zeminu do zásypov podpier</t>
  </si>
  <si>
    <t>01060203</t>
  </si>
  <si>
    <t>Premiestnenie  vodorovné do 3 000 m</t>
  </si>
  <si>
    <t>0106020301</t>
  </si>
  <si>
    <t>Premiestnenie  výkopku resp. rúbaniny vodorovné do 3 000 m, tr. horniny 1-4</t>
  </si>
  <si>
    <t>zemina do zásypov na medziskládku a späť</t>
  </si>
  <si>
    <t>zemina do zásypov</t>
  </si>
  <si>
    <t>2125052801</t>
  </si>
  <si>
    <t>Doplňujúce konštrukcie, mostné zábrany a ochrany, protidotykové zábrany, štít</t>
  </si>
  <si>
    <t>oceľový plech</t>
  </si>
  <si>
    <t xml:space="preserve">oceľová sieť     </t>
  </si>
  <si>
    <t>medzi schodiskom a krídlom:     1,5*(10,2+7,1)*0,5=</t>
  </si>
  <si>
    <t>čistenie ložísk, odhad:      10*17*2*0,3*0,3=</t>
  </si>
  <si>
    <t>11090311</t>
  </si>
  <si>
    <t>Schodiskové konštrukcie, stupne, výstuž z betonárskej ocele</t>
  </si>
  <si>
    <t>Schodiskové konštrukcie, stupne, výstuž z betonárskej ocele 10505</t>
  </si>
  <si>
    <t>1109031106</t>
  </si>
  <si>
    <t>výstuž B500B :         (302,57+230,82)/1000=</t>
  </si>
  <si>
    <t xml:space="preserve"> </t>
  </si>
  <si>
    <t>11030432</t>
  </si>
  <si>
    <t>Stĺpy, piliere, vzpery a rámové stojky (pozemné stavby) plotové oceľové</t>
  </si>
  <si>
    <t>1103043201</t>
  </si>
  <si>
    <t>Stĺpy, piliere, vzpery a rámové stojky (pozemné stavby) plotové oceľové, zabetónovanie pätky</t>
  </si>
  <si>
    <t>67110109</t>
  </si>
  <si>
    <t>Oplotenie  z drôteného pletiva poplastovaného</t>
  </si>
  <si>
    <t>6711010902</t>
  </si>
  <si>
    <t>Oplotenie  z drôteného pletiva poplastovaného, na stĺpiky oceľové</t>
  </si>
  <si>
    <t>84010952</t>
  </si>
  <si>
    <t xml:space="preserve">Náter povrchov strojov a zariadení, metalizácia </t>
  </si>
  <si>
    <t>8401095202</t>
  </si>
  <si>
    <t>Náter povrchov strojov a zariadení, metalizácia zinkom</t>
  </si>
  <si>
    <t>náter mostných záverov:     13,12*11*0,3*2=</t>
  </si>
  <si>
    <t>základný náter – epoxid -zinkový 80 µm</t>
  </si>
  <si>
    <t>odvodňovač vrátane rúr</t>
  </si>
  <si>
    <t>01030302</t>
  </si>
  <si>
    <t>Hĺbené vykopávky šachiet nezapažených</t>
  </si>
  <si>
    <t>0103030207</t>
  </si>
  <si>
    <t>Hĺbené vykopávky šachiet nezapažených, tr. horniny 1-4</t>
  </si>
  <si>
    <t>výkop šachiet</t>
  </si>
  <si>
    <t>00010403</t>
  </si>
  <si>
    <t>Zmluvné požiadavky poplatky za skládky zeminy</t>
  </si>
  <si>
    <t>45.26.23</t>
  </si>
  <si>
    <t>Betonárske práce</t>
  </si>
  <si>
    <t>11190201</t>
  </si>
  <si>
    <t>Kompletné konštrukcie, kompletné čistiace a zachytávacie objekty, z betónu prostého</t>
  </si>
  <si>
    <t>1119020107</t>
  </si>
  <si>
    <t>Kompletné konštrukcie, kompletné čistiace a zachytávacie objekty z betónu prostého, tr. C 30/37 (B 35)</t>
  </si>
  <si>
    <t>11190211</t>
  </si>
  <si>
    <t>Kompletné konštrukcie, kompletné čistiace a zachytávacie objekty, debnenie tradičné</t>
  </si>
  <si>
    <t>1119021101</t>
  </si>
  <si>
    <t>Kompletné konštrukcie, kompletné čistiace a zachytávacie objekty, debnenie tradičné drevené</t>
  </si>
  <si>
    <t>betón C30/37 vsakovacej jamy</t>
  </si>
  <si>
    <t>02010103</t>
  </si>
  <si>
    <t>Zlepšovanie základovej pôdy, výplň odvodňovacích rebier alebo trativodov kamenivom drveným</t>
  </si>
  <si>
    <t>0201010303</t>
  </si>
  <si>
    <t>Zlepšovanie základovej pôdy, výplň odvodňovacích rebier alebo trativodov kamenivom drveným fr. 32/64 mm</t>
  </si>
  <si>
    <t>výplň rozptylových vsakovacích jám, štrkodrva 32/64</t>
  </si>
  <si>
    <t>00080300</t>
  </si>
  <si>
    <t>Vplyv pracovného prostredia, železničná a mestská koľajová prevádzka</t>
  </si>
  <si>
    <t>mostné zvodidlo:     1248,0*0,083=</t>
  </si>
  <si>
    <t>oplotenie:     4,4*1,75*0,01=</t>
  </si>
  <si>
    <t>zvodidlo cestné:     56,0*0,042=</t>
  </si>
  <si>
    <t>do zberných surovín spolu</t>
  </si>
  <si>
    <t>bránka oplotenia:     1*0,8*1,75=</t>
  </si>
  <si>
    <t>stĺpiky oplotenia diaľnice:     4+3=</t>
  </si>
  <si>
    <t>spätná montáž chráničiek s káblami ISD:      625,0*2=</t>
  </si>
  <si>
    <t>nová pancierová chránička</t>
  </si>
  <si>
    <t>náter mostných záverov 100 µm:     13,12*11*0,3*2=</t>
  </si>
  <si>
    <t>1108022107</t>
  </si>
  <si>
    <t>Vodorovné nosné konštrukcie inžinierskych stavieb, mostné dosky, výstuž z betonárskej ocele zo zváraných sietí</t>
  </si>
  <si>
    <t>protidotyková zábrana:     31,0*2,0*0,001=</t>
  </si>
  <si>
    <t>odvodňovač vrátane rúr:     33,0*0,25=</t>
  </si>
  <si>
    <t>odvoz bet. zvodidiel správcovi:      20,0*2,088/4=</t>
  </si>
  <si>
    <t>Doplňujúce konštrukcie, dodatočné zaliatie kotevných otvorov</t>
  </si>
  <si>
    <t>21250910</t>
  </si>
  <si>
    <t>91250908</t>
  </si>
  <si>
    <t>Elektrizácia železníc - trakčné vedenie, vodiče TV, funkčný súbor 9 zostavy TV (bleskoistky, ukoľajnenia, ostatné konštrukcie)</t>
  </si>
  <si>
    <t>9125090804</t>
  </si>
  <si>
    <t>Elektrizácia železníc - trakčné vedenie, vodiče TV, funkčný súbor 9 zostavy TV (bleskoistky, ukoľajnenia, ostatné konštrukcie), ukoľajnenie s prierazkou</t>
  </si>
  <si>
    <t>ukoľajnenie</t>
  </si>
  <si>
    <t>45.23.41</t>
  </si>
  <si>
    <t>Stavebné práce na stavbe železníc</t>
  </si>
  <si>
    <t>betónové sklzy :    (25+15)*2*0,6=</t>
  </si>
  <si>
    <t>sklzy:     (15+25+10,5+7,5)*2*0,6*0,5=</t>
  </si>
  <si>
    <t xml:space="preserve">betónové žľabovky š= 600 mm:     (15+25+10,5+7,5)*2= </t>
  </si>
  <si>
    <t>sklzy podkladný betón:    (15+25+10,5+7,5)*2*0,7*0,15=</t>
  </si>
  <si>
    <t>zábrana proti preliezaniu na stĺpikoch:     2,2*2*1,85=</t>
  </si>
  <si>
    <t>oplotenie v päte svahu:    2,2*2*1,85=</t>
  </si>
  <si>
    <t>výkop pre vsakovacie jamy:     2,5*1,8*1,1*4=</t>
  </si>
  <si>
    <t>(1,6*0,4*1,3+1,6*0,25*1,1*2+1,6*0,3*1,1)*4=</t>
  </si>
  <si>
    <t>vsakovacie jamy:     (1,6*1,3+1,6*1,1*2*2+1,6*1,1+1,3*1,1+1,1*1,1)*4=</t>
  </si>
  <si>
    <t>1,1*1,6*0,5*4=</t>
  </si>
  <si>
    <t>fólia separačná na dne vsakovacej jamy:     1,5*2,0*4=</t>
  </si>
  <si>
    <t>2202041706</t>
  </si>
  <si>
    <t>Podkladné a krycie vrstvy s hydraulickým spojivom, cementobetónové jednovrstvové, beton prostý tr. IV   C30/37 (B 35)</t>
  </si>
  <si>
    <t>Oprava diaľničného mosta ev. č. D2-069, ľavý most</t>
  </si>
  <si>
    <t>201-00</t>
  </si>
  <si>
    <t>Most ev. č. D2-069, ľavý most</t>
  </si>
  <si>
    <t>šetrné búranie ríms</t>
  </si>
  <si>
    <t>výkres č. 8:</t>
  </si>
  <si>
    <t>zvodidlo s vodorovnou výplňou, vrátane kotvenia, PKO, podliatia plastmaltou, komplet dodávka</t>
  </si>
  <si>
    <t>zábrana proti padaniu snehu:     22,0+22,0=44,0 m</t>
  </si>
  <si>
    <t>zvislé rúry mostných odvodňovačov d 150 mm vrátane napojenia odvodňovača na zvislú rúru :     2,1*44=</t>
  </si>
  <si>
    <t>pred výstavbou presun chráničky s káblami ISD na vnútornú rímsu pravého mosta, poskončení výstavby presun naspäť</t>
  </si>
  <si>
    <t>pred výstavbou presun chráničky s káblami ISD na vnútornú rímsu pravého mosta, poskončení výstavby presun naspäť:     2*625,0=</t>
  </si>
  <si>
    <t>súbor lepených kotiev ríms, vrátane vŕtania, lepenia a ostatných potrebných činností pre kotvenie časti rímsy v dĺžke 1 m so zhustením pred MZ</t>
  </si>
  <si>
    <t>1x penetračný + 2x asfaltový nater</t>
  </si>
  <si>
    <t>stĺpiky zábrany proti preliezaniu:     2*3=</t>
  </si>
  <si>
    <t>sanácia spodných plôch 2 krajných nosníkov na oboch stranách mosta maltou triedy R4:   2,5*616*2*0,05=</t>
  </si>
  <si>
    <t>výstužná sieťovina pre sanáciu spodných plôch 2 krajných nosníkov na oboch stranách mosta:     2,5*616*2=</t>
  </si>
  <si>
    <t>vozovka most:    (6637,0+53,75*16)*2=</t>
  </si>
  <si>
    <t>okolo odvodňovačov:     44*2*(0,3+0,5)=</t>
  </si>
  <si>
    <t>dlažba pod mostom: (146+100)*2</t>
  </si>
  <si>
    <t>bezdilatačné styky</t>
  </si>
  <si>
    <t>LM (0,5*0,10*1,01+6*0,125*0,075*0,10)*10=</t>
  </si>
  <si>
    <t>LM B500 B, bezdilatačné styky 0,05*10=</t>
  </si>
  <si>
    <t>škára, bezdilatačné styky EPS polystyrén hr. 30 mm</t>
  </si>
  <si>
    <t>61010503</t>
  </si>
  <si>
    <t>Izolácie proti vode a zemnej vlhkosti, mostoviek fóliami</t>
  </si>
  <si>
    <t>6101050302</t>
  </si>
  <si>
    <t>Izolácie proti vode a zemnej vlhkosti, mostoviek fóliami na ploche zvislej</t>
  </si>
  <si>
    <t xml:space="preserve">bezdilatačné styky - neoprén   </t>
  </si>
  <si>
    <t xml:space="preserve">45.32.12 </t>
  </si>
  <si>
    <t xml:space="preserve">Ostatné izolačné práce </t>
  </si>
  <si>
    <t>61050505</t>
  </si>
  <si>
    <t>Izolácie proti chemickým vplyvom, technologických zariadení, ochrannými a podkladnými textíliami</t>
  </si>
  <si>
    <t>separačná vrstva z jutovej tkaniny - tiahla bezdilatačných stykov</t>
  </si>
  <si>
    <t>84010207</t>
  </si>
  <si>
    <t>Náter kovových doplnkových konštr., farba epoxidová</t>
  </si>
  <si>
    <t>8401020702</t>
  </si>
  <si>
    <t>Náter kovových doplnkových konštr., farba epoxidová, jednonásobný</t>
  </si>
  <si>
    <t>Antikorózny náter- tiahla bezdilatačných stykov</t>
  </si>
  <si>
    <t>84010214</t>
  </si>
  <si>
    <t>Náter kovových doplnkových konštr., lak asfaltový</t>
  </si>
  <si>
    <t>8401021405</t>
  </si>
  <si>
    <t>Náter kovových doplnkových konštr., lak asfaltový. štvornásobný</t>
  </si>
  <si>
    <t>separačný náter- tiahla bezdilatačných stykov</t>
  </si>
  <si>
    <t>2*(0,06+0,01)*1,0*22*3=</t>
  </si>
  <si>
    <t>2*(0,125+0,05)*1,33*22=</t>
  </si>
  <si>
    <t>bezdilatačný styk - pásy 60x10x1200 mm, S235 JRG</t>
  </si>
  <si>
    <t>0,95*1,33*22=</t>
  </si>
  <si>
    <t>0,153*1,33*22+2*0,14*0,15*3*22=</t>
  </si>
  <si>
    <t>vyrovnávací betón - priemernej hrúbky  65 mm, šetrné búranie:    0,8*(35,19+69,48+69,48+69,48+69,48+70,06+77,63+36,34+78,48+35,17)*0,065=</t>
  </si>
  <si>
    <t>železobetón:     (85,66+401,53)*2,4=</t>
  </si>
  <si>
    <t>asfaltový betón 90 mm, budú sa búrať dve vrstvy:     (2*13,6*11,75)*2=</t>
  </si>
  <si>
    <t>vozovka na moste, budú sa búrať dve vrstvy:     10,75*(35,19+69,48+69,48+69,48+69,48+70,06+77,63+36,34+78,48+35,17)*2=</t>
  </si>
  <si>
    <t>vozovka - most pred frézovaním, vozovky, zarezanie hlbka 100 mm šírka 10 mm:     11,75*2*11*2=</t>
  </si>
  <si>
    <t>odpočet ručného búrania vozovky na moste:     -11,75*2*11*2=</t>
  </si>
  <si>
    <t>05030163</t>
  </si>
  <si>
    <t>0503016301</t>
  </si>
  <si>
    <t>Ručné odstránenie spevnených plôch vozoviek a doplňujúcich konštrukcií krytov bitúmenových</t>
  </si>
  <si>
    <t>Ručné odstránenie spevnených plôch vozoviek a doplňujúcich konštrukcií krytov bitúmenových hr.do 100 mm</t>
  </si>
  <si>
    <t>ručné búranie vozovky na dĺžke 1,0 m pred MZ</t>
  </si>
  <si>
    <t>11,75*2*11*2=</t>
  </si>
  <si>
    <t>frézovaný asfalt:    1175,0*0,112+13597,29*0,127=</t>
  </si>
  <si>
    <t>ručne búraný asfalt:     11,75*2*11*2*0,181=</t>
  </si>
  <si>
    <t>asfalt spolu</t>
  </si>
  <si>
    <t>nerezové odvodňovacie rúrky dĺžky 2150 mm, 59 kusov:      2,15*59=</t>
  </si>
  <si>
    <t>vyrovnávací betón:</t>
  </si>
  <si>
    <t>vozovka kryt - most, hlbka 40 mm šírka 10 mm:     11,75*2*11*2=</t>
  </si>
  <si>
    <t>vypracovanie DVP 3 x v tlačenej + 1 x v digit.forme</t>
  </si>
  <si>
    <t>zaliatie 50% otvorov kotiev mostných záverov vrátane vybratia a vyčistenia:    13*11*2/0,25*0,2/2=</t>
  </si>
  <si>
    <t>SMA 11 PMB, MK</t>
  </si>
  <si>
    <t>2203074405</t>
  </si>
  <si>
    <t>Podkladné a krycie vrstvy z asfaltových zmesí, liaty asfalt cestný strednozrnný modifikovaný</t>
  </si>
  <si>
    <t>2203074406</t>
  </si>
  <si>
    <t>Podkladné a krycie vrstvy z asfaltových zmesí, liaty asfalt cestný hrubozrnný modifikovaný</t>
  </si>
  <si>
    <t>liaty asfalt MA16 PMB, MO - 45 mm:     (6637,0+53,75*16-81,64)*0,045=</t>
  </si>
  <si>
    <t>2203033004</t>
  </si>
  <si>
    <t>Podkladné a krycie vrstvy z asfaltových zmesí, bitúmenové postreky, nátery, posypy spojovací postrek z modifikovanej emulzie</t>
  </si>
  <si>
    <t>drva 4/8 mm</t>
  </si>
  <si>
    <t>modifikovaná asfaltová emulzia PSE-M, CBP, 0,3 kg/m2</t>
  </si>
  <si>
    <t xml:space="preserve">NAIP, hr. 5 mm </t>
  </si>
  <si>
    <t>jednovrstvový sanačný systém do 20 mm 30%:     8,2*615,4*0,3*0,02=</t>
  </si>
  <si>
    <t>dvojvrstvový sanačný systém od 20 mm do 50 mm 30%:     8,2*615,4*0,3*0,05=</t>
  </si>
  <si>
    <t>viacvrstvový sanačný systém nad 50 mm 40%:     8,2*615,4*0,4*0,07=</t>
  </si>
  <si>
    <t>jednovrstvový sanačný systém do 20 mm 60%:     141,0*0,6*0,02=</t>
  </si>
  <si>
    <t>dvojvrstvový sanačný systém od 20 mm do 50 mm 20%:     141,0*0,2*0,05=</t>
  </si>
  <si>
    <t>viacvrstvový sanačný systém nad 50 mm 20%:     141,0*0,2*0,07=</t>
  </si>
  <si>
    <t>jednovrstvový sanačný systém do 20 mm :     338*0,6*0,02=</t>
  </si>
  <si>
    <t>jednovrstvový sanačný systém do 50 mm:     338*0,2*0,05=</t>
  </si>
  <si>
    <t>viacvrstvový sanačný systém nad 50 mm:     338*0,2*0,07=</t>
  </si>
  <si>
    <t>jednovrstvový sanačný systém do 20 mm 60%:     4,87*615,4*0,6*0,02=</t>
  </si>
  <si>
    <t>dvojvrstvový sanačný systém od 20 mm do 50 mm 20%:     4,87*615,4*0,2*0,05=</t>
  </si>
  <si>
    <t xml:space="preserve">viacvrstvový sanačný systém nad 50 mm 20%:     4,87*615,4*0,2*0,07= </t>
  </si>
  <si>
    <t>jednovrstvový sanačný systém do 20 mm 60%:     (2636+(5+1,25)*2*0,15*16)*0,6*0,02=</t>
  </si>
  <si>
    <t>dvojvrstvový sanačný systém od 20 mm do 50 mm 20%:     (2636+(5+1,25)*2*0,15*16)*0,2*0,05=</t>
  </si>
  <si>
    <t>viacvrstvový sanačný systém nad 50 mm 20%:     (2636+(5+1,25)*2*0,15*16)*0,2*0,07=</t>
  </si>
  <si>
    <t>84010818</t>
  </si>
  <si>
    <t>Náter betónových konštrukcií mostov zjednocujúci</t>
  </si>
  <si>
    <t>kompatibilný s použitým sanačným systémom</t>
  </si>
  <si>
    <t>vo farebnom odtieni pôvodného betónového povrchu</t>
  </si>
  <si>
    <t>zvislé plochy</t>
  </si>
  <si>
    <t>podhľady</t>
  </si>
  <si>
    <t>nosná konštrukcia:     8,2*615,4*1,0=</t>
  </si>
  <si>
    <t>spodná stavba:     141,0*1,0=</t>
  </si>
  <si>
    <t>vodorovné plochy</t>
  </si>
  <si>
    <t>spodná stavba:     338,0*1,0=</t>
  </si>
  <si>
    <t>sanačná vrstva vyrovnávacieho betónu, malta triedy R4:
 35,0*13,12*0,05=</t>
  </si>
  <si>
    <t xml:space="preserve">výluky železničnej dopravy, vrátane prekovania a odsúhlsenia so ŽSR.
Odhadovaný počet hodín pre výluku je 120 hodín.
</t>
  </si>
  <si>
    <t xml:space="preserve">lešenie, plošiny, prístup k NK a pilierom zospodu, mobilné plošiny pre vykonanie sanačných prác a prác počas opravy mosta pre priestor pod mostom a okolo pilierov vo výmere   71 285,0 m3, vrátane potrebnej manipulácie, montáže demontáže a zvoleného technologického postupu.
 </t>
  </si>
  <si>
    <t>Dočasná ochranná konštrukcia nad traťou ŽSR na dĺ.22,0m+22,0m, nad cestou III. triedy na dĺ. 14,0m  a miestnou komunikáciou na dĺ. 10,0 m.(minimálne celodrevená dočasná ochranná konštrukcia).</t>
  </si>
  <si>
    <t xml:space="preserve">dočasné ochranné opatrenia nad traťou ŽSR (dočasná ochrana proti dotyku živých častí a proti padaniu materialu na trať ŽSR)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</si>
</sst>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S_k_-;\-* #,##0.00\ _S_k_-;_-* &quot;-&quot;??\ _S_k_-;_-@_-"/>
    <numFmt numFmtId="165" formatCode="00000000"/>
    <numFmt numFmtId="166" formatCode="0000000000"/>
    <numFmt numFmtId="167" formatCode="#,##0.000"/>
    <numFmt numFmtId="168" formatCode="0.000"/>
  </numFmts>
  <fonts count="43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T*Switzerland Narrow"/>
      <charset val="238"/>
    </font>
    <font>
      <sz val="11"/>
      <color indexed="8"/>
      <name val="Calibri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i/>
      <sz val="10"/>
      <color rgb="FF7030A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 CE"/>
      <family val="2"/>
      <charset val="238"/>
    </font>
    <font>
      <i/>
      <u/>
      <sz val="10"/>
      <color indexed="12"/>
      <name val="Arial"/>
      <family val="2"/>
      <charset val="238"/>
    </font>
    <font>
      <b/>
      <sz val="11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2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1"/>
      <color rgb="FF7030A0"/>
      <name val="Arial Narrow"/>
      <family val="2"/>
      <charset val="238"/>
    </font>
    <font>
      <b/>
      <sz val="11"/>
      <color rgb="FF7030A0"/>
      <name val="Arial CE"/>
      <family val="2"/>
      <charset val="238"/>
    </font>
    <font>
      <b/>
      <sz val="11"/>
      <name val="Arial Narrow"/>
      <family val="2"/>
      <charset val="238"/>
    </font>
    <font>
      <sz val="11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indexed="12"/>
      <name val="Arial CE"/>
      <family val="2"/>
      <charset val="238"/>
    </font>
    <font>
      <sz val="8"/>
      <color theme="1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name val="Arial"/>
      <family val="2"/>
    </font>
    <font>
      <sz val="11"/>
      <color rgb="FFFF0000"/>
      <name val="Arial"/>
      <family val="2"/>
      <charset val="238"/>
    </font>
    <font>
      <sz val="11"/>
      <color rgb="FFFF000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9" fillId="0" borderId="0">
      <alignment horizontal="center" vertical="center" wrapText="1"/>
    </xf>
    <xf numFmtId="0" fontId="13" fillId="0" borderId="0"/>
    <xf numFmtId="0" fontId="8" fillId="0" borderId="0"/>
  </cellStyleXfs>
  <cellXfs count="227"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2" fillId="0" borderId="14" xfId="0" applyNumberFormat="1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top" wrapText="1"/>
    </xf>
    <xf numFmtId="0" fontId="6" fillId="0" borderId="16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49" fontId="7" fillId="0" borderId="13" xfId="0" quotePrefix="1" applyNumberFormat="1" applyFont="1" applyBorder="1" applyAlignment="1">
      <alignment horizontal="left" vertical="top"/>
    </xf>
    <xf numFmtId="49" fontId="7" fillId="0" borderId="15" xfId="0" applyNumberFormat="1" applyFont="1" applyBorder="1" applyAlignment="1">
      <alignment horizontal="left" vertical="top"/>
    </xf>
    <xf numFmtId="49" fontId="8" fillId="0" borderId="15" xfId="0" quotePrefix="1" applyNumberFormat="1" applyFont="1" applyBorder="1" applyAlignment="1">
      <alignment horizontal="left" vertical="top"/>
    </xf>
    <xf numFmtId="49" fontId="8" fillId="0" borderId="13" xfId="0" applyNumberFormat="1" applyFont="1" applyBorder="1" applyAlignment="1">
      <alignment horizontal="left" vertical="top"/>
    </xf>
    <xf numFmtId="4" fontId="0" fillId="0" borderId="0" xfId="0" applyNumberFormat="1"/>
    <xf numFmtId="4" fontId="5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left" vertical="top"/>
    </xf>
    <xf numFmtId="49" fontId="3" fillId="0" borderId="12" xfId="0" applyNumberFormat="1" applyFont="1" applyBorder="1" applyAlignment="1">
      <alignment horizontal="left" vertical="top"/>
    </xf>
    <xf numFmtId="49" fontId="3" fillId="0" borderId="13" xfId="0" applyNumberFormat="1" applyFont="1" applyBorder="1" applyAlignment="1">
      <alignment horizontal="left" vertical="top"/>
    </xf>
    <xf numFmtId="49" fontId="3" fillId="0" borderId="15" xfId="0" applyNumberFormat="1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15" xfId="0" applyNumberFormat="1" applyFont="1" applyBorder="1" applyAlignment="1">
      <alignment horizontal="left" vertical="top"/>
    </xf>
    <xf numFmtId="4" fontId="5" fillId="0" borderId="17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top" wrapText="1"/>
    </xf>
    <xf numFmtId="49" fontId="2" fillId="0" borderId="13" xfId="0" applyNumberFormat="1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/>
    </xf>
    <xf numFmtId="0" fontId="7" fillId="0" borderId="13" xfId="0" applyFont="1" applyBorder="1" applyAlignment="1">
      <alignment horizontal="center" vertical="top"/>
    </xf>
    <xf numFmtId="49" fontId="8" fillId="0" borderId="13" xfId="0" quotePrefix="1" applyNumberFormat="1" applyFont="1" applyBorder="1" applyAlignment="1">
      <alignment horizontal="left" vertical="top"/>
    </xf>
    <xf numFmtId="0" fontId="8" fillId="0" borderId="13" xfId="0" applyFont="1" applyBorder="1" applyAlignment="1">
      <alignment horizontal="center" vertical="top"/>
    </xf>
    <xf numFmtId="49" fontId="12" fillId="0" borderId="13" xfId="0" quotePrefix="1" applyNumberFormat="1" applyFont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4" fontId="14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15" fillId="0" borderId="4" xfId="0" applyNumberFormat="1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left" vertical="top" wrapText="1"/>
    </xf>
    <xf numFmtId="49" fontId="16" fillId="0" borderId="13" xfId="0" applyNumberFormat="1" applyFont="1" applyBorder="1" applyAlignment="1">
      <alignment horizontal="left" vertical="top"/>
    </xf>
    <xf numFmtId="49" fontId="15" fillId="0" borderId="13" xfId="0" applyNumberFormat="1" applyFont="1" applyBorder="1" applyAlignment="1">
      <alignment horizontal="center" vertical="top"/>
    </xf>
    <xf numFmtId="49" fontId="15" fillId="0" borderId="16" xfId="0" applyNumberFormat="1" applyFont="1" applyBorder="1" applyAlignment="1">
      <alignment horizontal="center" vertical="top" wrapText="1"/>
    </xf>
    <xf numFmtId="49" fontId="17" fillId="0" borderId="13" xfId="0" applyNumberFormat="1" applyFont="1" applyBorder="1" applyAlignment="1">
      <alignment vertical="top"/>
    </xf>
    <xf numFmtId="49" fontId="17" fillId="0" borderId="13" xfId="0" applyNumberFormat="1" applyFont="1" applyBorder="1" applyAlignment="1">
      <alignment horizontal="left" vertical="top"/>
    </xf>
    <xf numFmtId="49" fontId="17" fillId="0" borderId="2" xfId="0" applyNumberFormat="1" applyFont="1" applyBorder="1" applyAlignment="1">
      <alignment vertical="top"/>
    </xf>
    <xf numFmtId="0" fontId="0" fillId="0" borderId="13" xfId="0" applyBorder="1"/>
    <xf numFmtId="49" fontId="15" fillId="0" borderId="13" xfId="0" applyNumberFormat="1" applyFont="1" applyBorder="1" applyAlignment="1">
      <alignment horizontal="left" vertical="top" wrapText="1"/>
    </xf>
    <xf numFmtId="49" fontId="18" fillId="0" borderId="4" xfId="0" applyNumberFormat="1" applyFont="1" applyBorder="1" applyAlignment="1">
      <alignment horizontal="center" vertical="top" wrapText="1"/>
    </xf>
    <xf numFmtId="49" fontId="19" fillId="0" borderId="2" xfId="0" applyNumberFormat="1" applyFont="1" applyBorder="1" applyAlignment="1">
      <alignment horizontal="left" vertical="top" wrapText="1"/>
    </xf>
    <xf numFmtId="49" fontId="18" fillId="0" borderId="13" xfId="0" applyNumberFormat="1" applyFont="1" applyBorder="1" applyAlignment="1">
      <alignment horizontal="left" vertical="top"/>
    </xf>
    <xf numFmtId="49" fontId="20" fillId="0" borderId="15" xfId="0" applyNumberFormat="1" applyFont="1" applyBorder="1" applyAlignment="1">
      <alignment horizontal="left" vertical="top"/>
    </xf>
    <xf numFmtId="49" fontId="20" fillId="0" borderId="13" xfId="0" applyNumberFormat="1" applyFont="1" applyBorder="1" applyAlignment="1">
      <alignment horizontal="center" vertical="top"/>
    </xf>
    <xf numFmtId="49" fontId="16" fillId="0" borderId="15" xfId="0" applyNumberFormat="1" applyFont="1" applyBorder="1" applyAlignment="1">
      <alignment horizontal="left" vertical="top"/>
    </xf>
    <xf numFmtId="166" fontId="21" fillId="0" borderId="15" xfId="0" applyNumberFormat="1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left" vertical="top"/>
    </xf>
    <xf numFmtId="4" fontId="22" fillId="0" borderId="15" xfId="0" applyNumberFormat="1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3" fillId="0" borderId="2" xfId="0" applyNumberFormat="1" applyFont="1" applyBorder="1" applyAlignment="1">
      <alignment horizontal="left" vertical="top" wrapText="1"/>
    </xf>
    <xf numFmtId="4" fontId="21" fillId="0" borderId="6" xfId="0" applyNumberFormat="1" applyFont="1" applyBorder="1" applyAlignment="1">
      <alignment horizontal="center" vertical="top"/>
    </xf>
    <xf numFmtId="4" fontId="24" fillId="0" borderId="6" xfId="0" applyNumberFormat="1" applyFont="1" applyBorder="1" applyAlignment="1">
      <alignment horizontal="center" vertical="top"/>
    </xf>
    <xf numFmtId="49" fontId="21" fillId="0" borderId="4" xfId="0" applyNumberFormat="1" applyFont="1" applyBorder="1" applyAlignment="1">
      <alignment horizontal="center" vertical="top" wrapText="1"/>
    </xf>
    <xf numFmtId="49" fontId="21" fillId="0" borderId="2" xfId="0" applyNumberFormat="1" applyFont="1" applyBorder="1" applyAlignment="1">
      <alignment horizontal="left" vertical="top" wrapText="1"/>
    </xf>
    <xf numFmtId="49" fontId="25" fillId="0" borderId="2" xfId="0" applyNumberFormat="1" applyFont="1" applyBorder="1" applyAlignment="1">
      <alignment horizontal="left" vertical="top" wrapText="1"/>
    </xf>
    <xf numFmtId="49" fontId="21" fillId="0" borderId="13" xfId="0" applyNumberFormat="1" applyFont="1" applyBorder="1" applyAlignment="1">
      <alignment horizontal="left" vertical="top"/>
    </xf>
    <xf numFmtId="4" fontId="26" fillId="0" borderId="6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left" vertical="top"/>
    </xf>
    <xf numFmtId="165" fontId="21" fillId="0" borderId="13" xfId="0" applyNumberFormat="1" applyFont="1" applyBorder="1" applyAlignment="1">
      <alignment horizontal="left" vertical="top" wrapText="1"/>
    </xf>
    <xf numFmtId="49" fontId="8" fillId="0" borderId="15" xfId="0" applyNumberFormat="1" applyFont="1" applyBorder="1" applyAlignment="1">
      <alignment horizontal="left" vertical="top"/>
    </xf>
    <xf numFmtId="0" fontId="8" fillId="0" borderId="16" xfId="0" applyFont="1" applyBorder="1" applyAlignment="1">
      <alignment horizontal="center" vertical="top"/>
    </xf>
    <xf numFmtId="0" fontId="8" fillId="0" borderId="15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4" fontId="7" fillId="0" borderId="6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/>
    </xf>
    <xf numFmtId="4" fontId="8" fillId="0" borderId="6" xfId="0" applyNumberFormat="1" applyFont="1" applyBorder="1" applyAlignment="1">
      <alignment horizontal="center" vertical="top"/>
    </xf>
    <xf numFmtId="49" fontId="29" fillId="0" borderId="4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6" fontId="30" fillId="0" borderId="2" xfId="0" applyNumberFormat="1" applyFont="1" applyBorder="1" applyAlignment="1">
      <alignment horizontal="left" vertical="center"/>
    </xf>
    <xf numFmtId="0" fontId="30" fillId="0" borderId="13" xfId="0" applyFont="1" applyBorder="1" applyAlignment="1">
      <alignment horizontal="center" vertical="top"/>
    </xf>
    <xf numFmtId="4" fontId="30" fillId="0" borderId="6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left" vertical="top"/>
    </xf>
    <xf numFmtId="0" fontId="30" fillId="0" borderId="2" xfId="0" applyFont="1" applyBorder="1" applyAlignment="1">
      <alignment vertical="center"/>
    </xf>
    <xf numFmtId="0" fontId="11" fillId="0" borderId="2" xfId="0" applyFont="1" applyBorder="1" applyAlignment="1">
      <alignment vertical="top" wrapText="1"/>
    </xf>
    <xf numFmtId="49" fontId="8" fillId="0" borderId="2" xfId="0" quotePrefix="1" applyNumberFormat="1" applyFont="1" applyBorder="1" applyAlignment="1">
      <alignment horizontal="left" vertical="top"/>
    </xf>
    <xf numFmtId="0" fontId="8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 wrapText="1"/>
    </xf>
    <xf numFmtId="0" fontId="11" fillId="0" borderId="13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right" vertical="top" wrapText="1"/>
    </xf>
    <xf numFmtId="49" fontId="32" fillId="0" borderId="13" xfId="0" applyNumberFormat="1" applyFont="1" applyBorder="1" applyAlignment="1">
      <alignment vertical="top"/>
    </xf>
    <xf numFmtId="49" fontId="6" fillId="0" borderId="16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4" fontId="23" fillId="0" borderId="6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top"/>
    </xf>
    <xf numFmtId="49" fontId="2" fillId="0" borderId="14" xfId="0" applyNumberFormat="1" applyFont="1" applyBorder="1" applyAlignment="1">
      <alignment horizontal="center" vertical="top"/>
    </xf>
    <xf numFmtId="49" fontId="11" fillId="0" borderId="2" xfId="0" applyNumberFormat="1" applyFont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center" vertical="top"/>
    </xf>
    <xf numFmtId="49" fontId="11" fillId="0" borderId="13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>
      <alignment horizontal="left" vertical="top"/>
    </xf>
    <xf numFmtId="4" fontId="26" fillId="0" borderId="0" xfId="0" applyNumberFormat="1" applyFont="1" applyAlignment="1">
      <alignment horizontal="center" vertical="top"/>
    </xf>
    <xf numFmtId="167" fontId="21" fillId="0" borderId="6" xfId="0" applyNumberFormat="1" applyFont="1" applyBorder="1" applyAlignment="1">
      <alignment horizontal="center" vertical="center"/>
    </xf>
    <xf numFmtId="167" fontId="24" fillId="0" borderId="6" xfId="0" applyNumberFormat="1" applyFont="1" applyBorder="1" applyAlignment="1">
      <alignment horizontal="center" vertical="center"/>
    </xf>
    <xf numFmtId="4" fontId="34" fillId="0" borderId="6" xfId="0" applyNumberFormat="1" applyFont="1" applyBorder="1" applyAlignment="1">
      <alignment horizontal="center" vertical="top"/>
    </xf>
    <xf numFmtId="4" fontId="21" fillId="0" borderId="20" xfId="0" applyNumberFormat="1" applyFont="1" applyBorder="1" applyAlignment="1">
      <alignment horizontal="center" vertical="top"/>
    </xf>
    <xf numFmtId="4" fontId="24" fillId="0" borderId="20" xfId="0" applyNumberFormat="1" applyFont="1" applyBorder="1" applyAlignment="1">
      <alignment horizontal="center" vertical="top"/>
    </xf>
    <xf numFmtId="4" fontId="21" fillId="0" borderId="7" xfId="0" applyNumberFormat="1" applyFont="1" applyBorder="1" applyAlignment="1">
      <alignment horizontal="center" vertical="top"/>
    </xf>
    <xf numFmtId="0" fontId="35" fillId="0" borderId="13" xfId="0" quotePrefix="1" applyFont="1" applyBorder="1" applyAlignment="1">
      <alignment vertical="top" wrapText="1"/>
    </xf>
    <xf numFmtId="0" fontId="35" fillId="0" borderId="13" xfId="0" applyFont="1" applyBorder="1" applyAlignment="1">
      <alignment horizontal="left" vertical="top" wrapText="1"/>
    </xf>
    <xf numFmtId="0" fontId="35" fillId="0" borderId="13" xfId="0" quotePrefix="1" applyFont="1" applyBorder="1" applyAlignment="1">
      <alignment horizontal="center" vertical="top" wrapText="1"/>
    </xf>
    <xf numFmtId="0" fontId="13" fillId="0" borderId="13" xfId="0" quotePrefix="1" applyFont="1" applyBorder="1" applyAlignment="1">
      <alignment horizontal="left" vertical="top" wrapText="1"/>
    </xf>
    <xf numFmtId="0" fontId="13" fillId="0" borderId="13" xfId="0" quotePrefix="1" applyFont="1" applyBorder="1" applyAlignment="1">
      <alignment horizontal="center" vertical="top" wrapText="1"/>
    </xf>
    <xf numFmtId="0" fontId="15" fillId="0" borderId="0" xfId="0" applyFont="1"/>
    <xf numFmtId="0" fontId="31" fillId="0" borderId="0" xfId="0" applyFont="1"/>
    <xf numFmtId="49" fontId="20" fillId="0" borderId="13" xfId="0" applyNumberFormat="1" applyFont="1" applyBorder="1" applyAlignment="1">
      <alignment horizontal="left" vertical="top"/>
    </xf>
    <xf numFmtId="49" fontId="34" fillId="0" borderId="15" xfId="0" quotePrefix="1" applyNumberFormat="1" applyFont="1" applyBorder="1" applyAlignment="1">
      <alignment horizontal="left" vertical="top"/>
    </xf>
    <xf numFmtId="49" fontId="34" fillId="0" borderId="15" xfId="0" quotePrefix="1" applyNumberFormat="1" applyFont="1" applyBorder="1" applyAlignment="1">
      <alignment horizontal="left" vertical="top" wrapText="1"/>
    </xf>
    <xf numFmtId="49" fontId="36" fillId="0" borderId="13" xfId="0" applyNumberFormat="1" applyFont="1" applyBorder="1" applyAlignment="1">
      <alignment horizontal="left" vertical="top"/>
    </xf>
    <xf numFmtId="49" fontId="2" fillId="0" borderId="21" xfId="0" applyNumberFormat="1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vertical="top"/>
    </xf>
    <xf numFmtId="49" fontId="23" fillId="0" borderId="4" xfId="0" applyNumberFormat="1" applyFont="1" applyBorder="1" applyAlignment="1">
      <alignment horizontal="center" vertical="top" wrapText="1"/>
    </xf>
    <xf numFmtId="49" fontId="23" fillId="0" borderId="13" xfId="0" applyNumberFormat="1" applyFont="1" applyBorder="1" applyAlignment="1">
      <alignment horizontal="left" vertical="top"/>
    </xf>
    <xf numFmtId="49" fontId="26" fillId="0" borderId="13" xfId="0" applyNumberFormat="1" applyFont="1" applyBorder="1" applyAlignment="1">
      <alignment horizontal="left" vertical="top"/>
    </xf>
    <xf numFmtId="49" fontId="23" fillId="0" borderId="13" xfId="0" applyNumberFormat="1" applyFont="1" applyBorder="1" applyAlignment="1">
      <alignment horizontal="center" vertical="top"/>
    </xf>
    <xf numFmtId="0" fontId="26" fillId="0" borderId="0" xfId="0" applyFont="1"/>
    <xf numFmtId="0" fontId="21" fillId="0" borderId="16" xfId="0" applyFont="1" applyBorder="1" applyAlignment="1">
      <alignment horizontal="center" vertical="top"/>
    </xf>
    <xf numFmtId="49" fontId="21" fillId="0" borderId="13" xfId="0" applyNumberFormat="1" applyFont="1" applyBorder="1" applyAlignment="1">
      <alignment horizontal="left" vertical="top" wrapText="1"/>
    </xf>
    <xf numFmtId="49" fontId="24" fillId="0" borderId="13" xfId="0" applyNumberFormat="1" applyFont="1" applyBorder="1" applyAlignment="1">
      <alignment horizontal="left" vertical="top"/>
    </xf>
    <xf numFmtId="49" fontId="24" fillId="0" borderId="13" xfId="0" applyNumberFormat="1" applyFont="1" applyBorder="1" applyAlignment="1">
      <alignment horizontal="center" vertical="center"/>
    </xf>
    <xf numFmtId="0" fontId="37" fillId="0" borderId="0" xfId="0" applyFont="1"/>
    <xf numFmtId="167" fontId="21" fillId="0" borderId="6" xfId="0" applyNumberFormat="1" applyFont="1" applyBorder="1" applyAlignment="1">
      <alignment horizontal="center" vertical="top"/>
    </xf>
    <xf numFmtId="0" fontId="26" fillId="0" borderId="0" xfId="0" applyFont="1" applyAlignment="1">
      <alignment vertical="top"/>
    </xf>
    <xf numFmtId="49" fontId="24" fillId="0" borderId="13" xfId="0" applyNumberFormat="1" applyFont="1" applyBorder="1" applyAlignment="1">
      <alignment horizontal="center" vertical="top"/>
    </xf>
    <xf numFmtId="167" fontId="24" fillId="0" borderId="6" xfId="0" applyNumberFormat="1" applyFont="1" applyBorder="1" applyAlignment="1">
      <alignment horizontal="center" vertical="top"/>
    </xf>
    <xf numFmtId="0" fontId="37" fillId="0" borderId="0" xfId="0" applyFont="1" applyAlignment="1">
      <alignment vertical="top"/>
    </xf>
    <xf numFmtId="49" fontId="21" fillId="0" borderId="16" xfId="0" applyNumberFormat="1" applyFont="1" applyBorder="1" applyAlignment="1">
      <alignment horizontal="center" vertical="top" wrapText="1"/>
    </xf>
    <xf numFmtId="0" fontId="21" fillId="0" borderId="2" xfId="0" applyFont="1" applyBorder="1" applyAlignment="1">
      <alignment vertical="top" wrapText="1"/>
    </xf>
    <xf numFmtId="0" fontId="39" fillId="0" borderId="0" xfId="0" applyFont="1"/>
    <xf numFmtId="4" fontId="26" fillId="0" borderId="0" xfId="0" applyNumberFormat="1" applyFont="1"/>
    <xf numFmtId="0" fontId="23" fillId="0" borderId="0" xfId="0" applyFont="1"/>
    <xf numFmtId="0" fontId="38" fillId="0" borderId="0" xfId="0" applyFont="1"/>
    <xf numFmtId="0" fontId="7" fillId="0" borderId="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center" vertical="top"/>
    </xf>
    <xf numFmtId="49" fontId="40" fillId="0" borderId="13" xfId="0" applyNumberFormat="1" applyFont="1" applyBorder="1" applyAlignment="1">
      <alignment horizontal="center" vertical="top"/>
    </xf>
    <xf numFmtId="49" fontId="41" fillId="0" borderId="13" xfId="0" applyNumberFormat="1" applyFont="1" applyBorder="1" applyAlignment="1">
      <alignment horizontal="center" vertical="top"/>
    </xf>
    <xf numFmtId="168" fontId="42" fillId="0" borderId="0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top" wrapText="1"/>
    </xf>
    <xf numFmtId="4" fontId="26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top" wrapText="1"/>
    </xf>
    <xf numFmtId="49" fontId="24" fillId="0" borderId="0" xfId="0" applyNumberFormat="1" applyFont="1" applyBorder="1" applyAlignment="1">
      <alignment horizontal="left" vertical="top" wrapText="1"/>
    </xf>
    <xf numFmtId="0" fontId="26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0" fontId="0" fillId="0" borderId="0" xfId="0" applyBorder="1"/>
    <xf numFmtId="0" fontId="26" fillId="0" borderId="0" xfId="0" applyFont="1" applyBorder="1" applyAlignment="1">
      <alignment vertical="top"/>
    </xf>
    <xf numFmtId="4" fontId="16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top" wrapText="1"/>
    </xf>
    <xf numFmtId="49" fontId="25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49" fontId="5" fillId="0" borderId="0" xfId="0" applyNumberFormat="1" applyFont="1" applyBorder="1" applyAlignment="1">
      <alignment horizontal="right" vertical="center" wrapText="1"/>
    </xf>
    <xf numFmtId="4" fontId="22" fillId="0" borderId="0" xfId="0" applyNumberFormat="1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49" fontId="8" fillId="0" borderId="0" xfId="0" quotePrefix="1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vertical="top" wrapText="1"/>
    </xf>
    <xf numFmtId="0" fontId="35" fillId="0" borderId="0" xfId="0" quotePrefix="1" applyFont="1" applyBorder="1" applyAlignment="1">
      <alignment vertical="top" wrapText="1"/>
    </xf>
    <xf numFmtId="0" fontId="13" fillId="0" borderId="0" xfId="0" quotePrefix="1" applyFont="1" applyBorder="1" applyAlignment="1">
      <alignment vertical="top" wrapText="1"/>
    </xf>
    <xf numFmtId="49" fontId="17" fillId="0" borderId="0" xfId="0" applyNumberFormat="1" applyFont="1" applyBorder="1" applyAlignment="1">
      <alignment vertical="top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4" fontId="33" fillId="0" borderId="18" xfId="0" applyNumberFormat="1" applyFont="1" applyBorder="1" applyAlignment="1">
      <alignment horizontal="center" vertical="top"/>
    </xf>
    <xf numFmtId="4" fontId="33" fillId="0" borderId="19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166" fontId="21" fillId="0" borderId="15" xfId="0" applyNumberFormat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49" fontId="24" fillId="0" borderId="13" xfId="0" applyNumberFormat="1" applyFont="1" applyFill="1" applyBorder="1" applyAlignment="1">
      <alignment horizontal="left" vertical="top"/>
    </xf>
    <xf numFmtId="49" fontId="24" fillId="0" borderId="0" xfId="0" applyNumberFormat="1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vertical="top"/>
    </xf>
    <xf numFmtId="49" fontId="24" fillId="0" borderId="13" xfId="0" applyNumberFormat="1" applyFont="1" applyFill="1" applyBorder="1" applyAlignment="1">
      <alignment horizontal="center" vertical="top"/>
    </xf>
    <xf numFmtId="167" fontId="24" fillId="0" borderId="6" xfId="0" applyNumberFormat="1" applyFont="1" applyFill="1" applyBorder="1" applyAlignment="1">
      <alignment horizontal="center" vertical="top"/>
    </xf>
  </cellXfs>
  <cellStyles count="5">
    <cellStyle name="Čiarka 2" xfId="1" xr:uid="{00000000-0005-0000-0000-000000000000}"/>
    <cellStyle name="Normal_035-00, 036-00, 037-00" xfId="2" xr:uid="{00000000-0005-0000-0000-000001000000}"/>
    <cellStyle name="Normálna" xfId="0" builtinId="0"/>
    <cellStyle name="Normálna 2 2" xfId="3" xr:uid="{00000000-0005-0000-0000-000002000000}"/>
    <cellStyle name="Normálna 4" xfId="4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5"/>
  <sheetViews>
    <sheetView tabSelected="1" zoomScale="145" zoomScaleNormal="145" workbookViewId="0">
      <selection activeCell="K37" sqref="K37"/>
    </sheetView>
  </sheetViews>
  <sheetFormatPr defaultRowHeight="15.75"/>
  <cols>
    <col min="1" max="1" width="5.7109375" style="34" customWidth="1"/>
    <col min="2" max="2" width="11.7109375" style="1" customWidth="1"/>
    <col min="3" max="3" width="11.7109375" style="2" customWidth="1"/>
    <col min="4" max="4" width="15.140625" style="18" customWidth="1"/>
    <col min="5" max="5" width="53" style="3" customWidth="1"/>
    <col min="6" max="6" width="11.7109375" style="15" customWidth="1"/>
    <col min="7" max="7" width="4.7109375" style="39" customWidth="1"/>
    <col min="8" max="8" width="11.7109375" style="114" customWidth="1"/>
    <col min="9" max="9" width="11.42578125" customWidth="1"/>
    <col min="13" max="13" width="17.140625" customWidth="1"/>
  </cols>
  <sheetData>
    <row r="1" spans="1:9" ht="15">
      <c r="B1" s="3" t="s">
        <v>0</v>
      </c>
      <c r="C1" s="4"/>
      <c r="D1" s="3"/>
      <c r="E1" s="126" t="s">
        <v>716</v>
      </c>
    </row>
    <row r="2" spans="1:9" ht="15">
      <c r="B2" s="3"/>
      <c r="C2" s="4"/>
      <c r="D2" s="3"/>
      <c r="E2" s="4"/>
    </row>
    <row r="3" spans="1:9" ht="15">
      <c r="B3" s="3" t="s">
        <v>1</v>
      </c>
      <c r="C3" s="4"/>
      <c r="D3" s="4" t="s">
        <v>717</v>
      </c>
      <c r="E3" s="4" t="s">
        <v>718</v>
      </c>
    </row>
    <row r="5" spans="1:9" ht="16.5" thickBot="1"/>
    <row r="6" spans="1:9" ht="15">
      <c r="A6" s="214" t="s">
        <v>2</v>
      </c>
      <c r="B6" s="217" t="s">
        <v>3</v>
      </c>
      <c r="C6" s="217"/>
      <c r="D6" s="217"/>
      <c r="E6" s="217" t="s">
        <v>4</v>
      </c>
      <c r="F6" s="217"/>
      <c r="G6" s="218" t="s">
        <v>5</v>
      </c>
      <c r="H6" s="212" t="s">
        <v>6</v>
      </c>
    </row>
    <row r="7" spans="1:9" ht="15">
      <c r="A7" s="215"/>
      <c r="B7" s="216" t="s">
        <v>7</v>
      </c>
      <c r="C7" s="216"/>
      <c r="D7" s="167" t="s">
        <v>8</v>
      </c>
      <c r="E7" s="216"/>
      <c r="F7" s="216"/>
      <c r="G7" s="219"/>
      <c r="H7" s="213"/>
    </row>
    <row r="8" spans="1:9">
      <c r="A8" s="35"/>
      <c r="B8" s="5"/>
      <c r="C8" s="77"/>
      <c r="D8" s="19"/>
      <c r="E8" s="168"/>
      <c r="F8" s="169"/>
      <c r="G8" s="40"/>
      <c r="H8" s="70"/>
    </row>
    <row r="9" spans="1:9" s="144" customFormat="1" ht="15" customHeight="1">
      <c r="A9" s="140"/>
      <c r="B9" s="69" t="s">
        <v>21</v>
      </c>
      <c r="C9" s="141"/>
      <c r="D9" s="142"/>
      <c r="E9" s="170" t="s">
        <v>130</v>
      </c>
      <c r="F9" s="171"/>
      <c r="G9" s="143"/>
      <c r="H9" s="106"/>
    </row>
    <row r="10" spans="1:9" s="144" customFormat="1" ht="14.25">
      <c r="A10" s="145">
        <f>MAX(A$2:A9)+1</f>
        <v>1</v>
      </c>
      <c r="B10" s="146" t="s">
        <v>21</v>
      </c>
      <c r="C10" s="78" t="s">
        <v>152</v>
      </c>
      <c r="D10" s="60"/>
      <c r="E10" s="172" t="s">
        <v>153</v>
      </c>
      <c r="F10" s="172"/>
      <c r="G10" s="61" t="s">
        <v>50</v>
      </c>
      <c r="H10" s="115">
        <f>H11</f>
        <v>1</v>
      </c>
    </row>
    <row r="11" spans="1:9" s="144" customFormat="1">
      <c r="A11" s="72"/>
      <c r="B11" s="74"/>
      <c r="C11" s="75"/>
      <c r="D11" s="147" t="s">
        <v>152</v>
      </c>
      <c r="E11" s="173" t="s">
        <v>153</v>
      </c>
      <c r="F11" s="174"/>
      <c r="G11" s="148" t="s">
        <v>50</v>
      </c>
      <c r="H11" s="116">
        <v>1</v>
      </c>
      <c r="I11" s="149"/>
    </row>
    <row r="12" spans="1:9">
      <c r="A12" s="35"/>
      <c r="B12" s="27"/>
      <c r="C12" s="26"/>
      <c r="D12" s="21"/>
      <c r="E12" s="175" t="s">
        <v>781</v>
      </c>
      <c r="F12" s="176"/>
      <c r="G12" s="62"/>
      <c r="H12" s="116"/>
      <c r="I12" s="127"/>
    </row>
    <row r="13" spans="1:9" s="151" customFormat="1" ht="14.25">
      <c r="A13" s="145">
        <f>MAX(A$2:A11)+1</f>
        <v>2</v>
      </c>
      <c r="B13" s="146" t="s">
        <v>21</v>
      </c>
      <c r="C13" s="78" t="s">
        <v>154</v>
      </c>
      <c r="D13" s="60"/>
      <c r="E13" s="172" t="s">
        <v>155</v>
      </c>
      <c r="F13" s="172"/>
      <c r="G13" s="61" t="s">
        <v>50</v>
      </c>
      <c r="H13" s="150">
        <f>H14</f>
        <v>1</v>
      </c>
    </row>
    <row r="14" spans="1:9" s="151" customFormat="1">
      <c r="A14" s="72"/>
      <c r="B14" s="74"/>
      <c r="C14" s="75"/>
      <c r="D14" s="147" t="s">
        <v>154</v>
      </c>
      <c r="E14" s="173" t="s">
        <v>155</v>
      </c>
      <c r="F14" s="177"/>
      <c r="G14" s="152" t="s">
        <v>50</v>
      </c>
      <c r="H14" s="153">
        <v>1</v>
      </c>
      <c r="I14" s="154"/>
    </row>
    <row r="15" spans="1:9">
      <c r="A15" s="35"/>
      <c r="B15" s="27"/>
      <c r="C15" s="26"/>
      <c r="D15" s="20"/>
      <c r="E15" s="175" t="s">
        <v>156</v>
      </c>
      <c r="F15" s="169"/>
      <c r="G15" s="43"/>
      <c r="H15" s="70"/>
    </row>
    <row r="16" spans="1:9">
      <c r="A16" s="35"/>
      <c r="B16" s="27"/>
      <c r="C16" s="26"/>
      <c r="D16" s="21"/>
      <c r="E16" s="175" t="s">
        <v>157</v>
      </c>
      <c r="F16" s="169"/>
      <c r="G16" s="43"/>
      <c r="H16" s="70"/>
    </row>
    <row r="17" spans="1:9" ht="15">
      <c r="A17" s="44"/>
      <c r="B17" s="45"/>
      <c r="C17" s="26"/>
      <c r="D17" s="59"/>
      <c r="E17" s="175" t="s">
        <v>158</v>
      </c>
      <c r="F17" s="178"/>
      <c r="G17" s="47"/>
      <c r="H17" s="106"/>
    </row>
    <row r="18" spans="1:9" s="151" customFormat="1" ht="25.5">
      <c r="A18" s="145">
        <f>MAX(A$2:A17)+1</f>
        <v>3</v>
      </c>
      <c r="B18" s="146" t="s">
        <v>21</v>
      </c>
      <c r="C18" s="78" t="s">
        <v>22</v>
      </c>
      <c r="D18" s="60"/>
      <c r="E18" s="172" t="s">
        <v>23</v>
      </c>
      <c r="F18" s="172"/>
      <c r="G18" s="61" t="s">
        <v>16</v>
      </c>
      <c r="H18" s="150">
        <f>H19</f>
        <v>4088.36</v>
      </c>
    </row>
    <row r="19" spans="1:9" s="151" customFormat="1" ht="25.5">
      <c r="A19" s="72"/>
      <c r="B19" s="74"/>
      <c r="C19" s="75"/>
      <c r="D19" s="147" t="s">
        <v>22</v>
      </c>
      <c r="E19" s="173" t="s">
        <v>23</v>
      </c>
      <c r="F19" s="177"/>
      <c r="G19" s="152" t="s">
        <v>16</v>
      </c>
      <c r="H19" s="153">
        <f>ROUND(F143,2)</f>
        <v>4088.36</v>
      </c>
      <c r="I19" s="154"/>
    </row>
    <row r="20" spans="1:9" s="151" customFormat="1" ht="14.25">
      <c r="A20" s="145">
        <f>MAX(A$2:A19)+1</f>
        <v>4</v>
      </c>
      <c r="B20" s="146" t="s">
        <v>21</v>
      </c>
      <c r="C20" s="78" t="s">
        <v>660</v>
      </c>
      <c r="D20" s="60"/>
      <c r="E20" s="172" t="s">
        <v>661</v>
      </c>
      <c r="F20" s="172"/>
      <c r="G20" s="61" t="s">
        <v>10</v>
      </c>
      <c r="H20" s="150">
        <f>H21</f>
        <v>479.82</v>
      </c>
    </row>
    <row r="21" spans="1:9" s="151" customFormat="1">
      <c r="A21" s="72"/>
      <c r="B21" s="74"/>
      <c r="C21" s="75"/>
      <c r="D21" s="147" t="s">
        <v>660</v>
      </c>
      <c r="E21" s="173" t="s">
        <v>661</v>
      </c>
      <c r="F21" s="177"/>
      <c r="G21" s="152" t="s">
        <v>10</v>
      </c>
      <c r="H21" s="153">
        <f>ROUND(F263,2)</f>
        <v>479.82</v>
      </c>
      <c r="I21" s="154"/>
    </row>
    <row r="22" spans="1:9" s="151" customFormat="1" ht="25.5">
      <c r="A22" s="145">
        <f>MAX(A$2:A21)+1</f>
        <v>5</v>
      </c>
      <c r="B22" s="146" t="s">
        <v>21</v>
      </c>
      <c r="C22" s="78" t="s">
        <v>24</v>
      </c>
      <c r="D22" s="60"/>
      <c r="E22" s="172" t="s">
        <v>25</v>
      </c>
      <c r="F22" s="172"/>
      <c r="G22" s="61" t="s">
        <v>10</v>
      </c>
      <c r="H22" s="150">
        <f>H23</f>
        <v>164.16</v>
      </c>
    </row>
    <row r="23" spans="1:9" s="151" customFormat="1" ht="25.5">
      <c r="A23" s="72"/>
      <c r="B23" s="74"/>
      <c r="C23" s="75"/>
      <c r="D23" s="147" t="s">
        <v>24</v>
      </c>
      <c r="E23" s="173" t="s">
        <v>599</v>
      </c>
      <c r="F23" s="177"/>
      <c r="G23" s="152" t="s">
        <v>10</v>
      </c>
      <c r="H23" s="153">
        <f>ROUND(F24,2)</f>
        <v>164.16</v>
      </c>
      <c r="I23" s="154"/>
    </row>
    <row r="24" spans="1:9">
      <c r="A24" s="54"/>
      <c r="B24" s="55"/>
      <c r="C24" s="56"/>
      <c r="D24" s="57"/>
      <c r="E24" s="175" t="s">
        <v>266</v>
      </c>
      <c r="F24" s="179">
        <f>547.2*0.3</f>
        <v>164.16</v>
      </c>
      <c r="G24" s="58"/>
      <c r="H24" s="117"/>
    </row>
    <row r="25" spans="1:9" s="151" customFormat="1" ht="25.5">
      <c r="A25" s="145">
        <f>MAX(A$2:A24)+1</f>
        <v>6</v>
      </c>
      <c r="B25" s="146" t="s">
        <v>21</v>
      </c>
      <c r="C25" s="78" t="s">
        <v>354</v>
      </c>
      <c r="D25" s="220"/>
      <c r="E25" s="221" t="s">
        <v>355</v>
      </c>
      <c r="F25" s="172"/>
      <c r="G25" s="61" t="s">
        <v>50</v>
      </c>
      <c r="H25" s="150">
        <f>H26</f>
        <v>1</v>
      </c>
    </row>
    <row r="26" spans="1:9" s="151" customFormat="1" ht="25.5">
      <c r="A26" s="72"/>
      <c r="B26" s="74"/>
      <c r="C26" s="75"/>
      <c r="D26" s="222" t="s">
        <v>354</v>
      </c>
      <c r="E26" s="223" t="s">
        <v>355</v>
      </c>
      <c r="F26" s="177"/>
      <c r="G26" s="152" t="s">
        <v>50</v>
      </c>
      <c r="H26" s="153">
        <v>1</v>
      </c>
      <c r="I26" s="154"/>
    </row>
    <row r="27" spans="1:9" ht="44.25" customHeight="1">
      <c r="A27" s="54"/>
      <c r="B27" s="55"/>
      <c r="C27" s="26"/>
      <c r="D27" s="20"/>
      <c r="E27" s="175" t="s">
        <v>823</v>
      </c>
      <c r="F27" s="16"/>
      <c r="G27" s="21"/>
      <c r="H27" s="71"/>
    </row>
    <row r="28" spans="1:9" ht="66" customHeight="1">
      <c r="A28" s="54"/>
      <c r="B28" s="55"/>
      <c r="C28" s="26"/>
      <c r="D28" s="57"/>
      <c r="E28" s="175" t="s">
        <v>822</v>
      </c>
      <c r="F28" s="16"/>
      <c r="G28" s="21"/>
      <c r="H28" s="71"/>
    </row>
    <row r="29" spans="1:9" s="151" customFormat="1" ht="25.5">
      <c r="A29" s="145">
        <f>MAX(A$2:A27)+1</f>
        <v>7</v>
      </c>
      <c r="B29" s="146" t="s">
        <v>21</v>
      </c>
      <c r="C29" s="78" t="s">
        <v>256</v>
      </c>
      <c r="D29" s="60"/>
      <c r="E29" s="172" t="s">
        <v>257</v>
      </c>
      <c r="F29" s="172"/>
      <c r="G29" s="61" t="s">
        <v>12</v>
      </c>
      <c r="H29" s="150">
        <f>H30</f>
        <v>34215.300000000003</v>
      </c>
    </row>
    <row r="30" spans="1:9" s="151" customFormat="1" ht="25.5">
      <c r="A30" s="72"/>
      <c r="B30" s="74"/>
      <c r="C30" s="75"/>
      <c r="D30" s="147" t="s">
        <v>256</v>
      </c>
      <c r="E30" s="173" t="s">
        <v>257</v>
      </c>
      <c r="F30" s="177"/>
      <c r="G30" s="152" t="s">
        <v>12</v>
      </c>
      <c r="H30" s="153">
        <f>ROUND(F38,2)</f>
        <v>34215.300000000003</v>
      </c>
      <c r="I30" s="154"/>
    </row>
    <row r="31" spans="1:9">
      <c r="A31" s="54"/>
      <c r="B31" s="55"/>
      <c r="C31" s="56"/>
      <c r="D31" s="57"/>
      <c r="E31" s="175" t="s">
        <v>260</v>
      </c>
      <c r="F31" s="179">
        <f>11.75*615</f>
        <v>7226.25</v>
      </c>
      <c r="G31" s="58"/>
      <c r="H31" s="117"/>
    </row>
    <row r="32" spans="1:9" ht="25.5">
      <c r="A32" s="54"/>
      <c r="B32" s="55"/>
      <c r="C32" s="56"/>
      <c r="D32" s="57"/>
      <c r="E32" s="175" t="s">
        <v>261</v>
      </c>
      <c r="F32" s="179">
        <f>13.12*615</f>
        <v>8068.7999999999993</v>
      </c>
      <c r="G32" s="58"/>
      <c r="H32" s="117"/>
    </row>
    <row r="33" spans="1:9" ht="25.5">
      <c r="A33" s="54"/>
      <c r="B33" s="55"/>
      <c r="C33" s="56"/>
      <c r="D33" s="57"/>
      <c r="E33" s="175" t="s">
        <v>262</v>
      </c>
      <c r="F33" s="179">
        <f>13.45*623</f>
        <v>8379.35</v>
      </c>
      <c r="G33" s="58"/>
      <c r="H33" s="117"/>
    </row>
    <row r="34" spans="1:9">
      <c r="A34" s="17"/>
      <c r="B34" s="27"/>
      <c r="C34" s="26"/>
      <c r="D34" s="21"/>
      <c r="E34" s="175" t="s">
        <v>258</v>
      </c>
      <c r="F34" s="179">
        <f>13.4*623+2*50*11.75</f>
        <v>9523.2000000000007</v>
      </c>
      <c r="G34" s="41"/>
      <c r="H34" s="71"/>
    </row>
    <row r="35" spans="1:9">
      <c r="A35" s="17"/>
      <c r="B35" s="27"/>
      <c r="C35" s="26"/>
      <c r="D35" s="21"/>
      <c r="E35" s="175" t="s">
        <v>259</v>
      </c>
      <c r="F35" s="179"/>
      <c r="G35" s="41"/>
      <c r="H35" s="71"/>
    </row>
    <row r="36" spans="1:9" ht="38.25">
      <c r="A36" s="17"/>
      <c r="B36" s="27"/>
      <c r="C36" s="26"/>
      <c r="D36" s="21"/>
      <c r="E36" s="175" t="s">
        <v>263</v>
      </c>
      <c r="F36" s="179">
        <f>0.8*(35.19+69.48+69.48+69.48+69.48+70.06+77.63+36.34+78.48+35.17+2*3)</f>
        <v>493.43200000000002</v>
      </c>
      <c r="G36" s="41"/>
      <c r="H36" s="71"/>
    </row>
    <row r="37" spans="1:9" ht="38.25">
      <c r="A37" s="17"/>
      <c r="B37" s="27"/>
      <c r="C37" s="26"/>
      <c r="D37" s="21"/>
      <c r="E37" s="175" t="s">
        <v>264</v>
      </c>
      <c r="F37" s="180">
        <f>0.85*(35.19+69.48+69.48+69.48+69.48+70.06+77.63+36.34+78.48+35.17+2*3)</f>
        <v>524.27149999999995</v>
      </c>
      <c r="G37" s="41"/>
      <c r="H37" s="71"/>
    </row>
    <row r="38" spans="1:9">
      <c r="A38" s="17"/>
      <c r="B38" s="27"/>
      <c r="C38" s="26"/>
      <c r="D38" s="21"/>
      <c r="E38" s="181" t="s">
        <v>456</v>
      </c>
      <c r="F38" s="179">
        <f>SUM(F31:F37)</f>
        <v>34215.303500000009</v>
      </c>
      <c r="G38" s="41"/>
      <c r="H38" s="71"/>
    </row>
    <row r="39" spans="1:9" s="151" customFormat="1" ht="25.5">
      <c r="A39" s="145">
        <f>MAX(A$2:A38)+1</f>
        <v>8</v>
      </c>
      <c r="B39" s="146" t="s">
        <v>21</v>
      </c>
      <c r="C39" s="78" t="s">
        <v>51</v>
      </c>
      <c r="D39" s="60"/>
      <c r="E39" s="172" t="s">
        <v>52</v>
      </c>
      <c r="F39" s="172"/>
      <c r="G39" s="61" t="s">
        <v>50</v>
      </c>
      <c r="H39" s="150">
        <f>H40</f>
        <v>1</v>
      </c>
    </row>
    <row r="40" spans="1:9" s="151" customFormat="1" ht="25.5">
      <c r="A40" s="72"/>
      <c r="B40" s="74"/>
      <c r="C40" s="75"/>
      <c r="D40" s="222" t="s">
        <v>51</v>
      </c>
      <c r="E40" s="223" t="s">
        <v>52</v>
      </c>
      <c r="F40" s="224"/>
      <c r="G40" s="225" t="s">
        <v>50</v>
      </c>
      <c r="H40" s="226">
        <v>1</v>
      </c>
      <c r="I40" s="154"/>
    </row>
    <row r="41" spans="1:9" ht="76.5" customHeight="1">
      <c r="A41" s="35"/>
      <c r="B41" s="27"/>
      <c r="C41" s="56"/>
      <c r="D41" s="128"/>
      <c r="E41" s="175" t="s">
        <v>821</v>
      </c>
      <c r="F41" s="169"/>
      <c r="G41" s="41"/>
      <c r="H41" s="71"/>
    </row>
    <row r="42" spans="1:9" s="151" customFormat="1" ht="25.5">
      <c r="A42" s="145">
        <f>MAX(A$2:A41)+1</f>
        <v>9</v>
      </c>
      <c r="B42" s="146" t="s">
        <v>21</v>
      </c>
      <c r="C42" s="78" t="s">
        <v>149</v>
      </c>
      <c r="D42" s="60"/>
      <c r="E42" s="172" t="s">
        <v>150</v>
      </c>
      <c r="F42" s="172"/>
      <c r="G42" s="61" t="s">
        <v>151</v>
      </c>
      <c r="H42" s="150">
        <f>H43</f>
        <v>1</v>
      </c>
    </row>
    <row r="43" spans="1:9" s="151" customFormat="1">
      <c r="A43" s="72"/>
      <c r="B43" s="74"/>
      <c r="C43" s="75"/>
      <c r="D43" s="147" t="s">
        <v>149</v>
      </c>
      <c r="E43" s="173" t="s">
        <v>150</v>
      </c>
      <c r="F43" s="177"/>
      <c r="G43" s="152" t="s">
        <v>151</v>
      </c>
      <c r="H43" s="153">
        <f>F44</f>
        <v>1</v>
      </c>
      <c r="I43" s="154"/>
    </row>
    <row r="44" spans="1:9" ht="25.5">
      <c r="A44" s="54"/>
      <c r="B44" s="55"/>
      <c r="C44" s="56"/>
      <c r="D44" s="57"/>
      <c r="E44" s="175" t="s">
        <v>265</v>
      </c>
      <c r="F44" s="179">
        <v>1</v>
      </c>
      <c r="G44" s="58"/>
      <c r="H44" s="117"/>
    </row>
    <row r="45" spans="1:9" s="151" customFormat="1" ht="25.5">
      <c r="A45" s="145">
        <f>MAX(A$2:A44)+1</f>
        <v>10</v>
      </c>
      <c r="B45" s="146" t="s">
        <v>21</v>
      </c>
      <c r="C45" s="78" t="s">
        <v>678</v>
      </c>
      <c r="D45" s="60"/>
      <c r="E45" s="172" t="s">
        <v>679</v>
      </c>
      <c r="F45" s="172"/>
      <c r="G45" s="61" t="s">
        <v>50</v>
      </c>
      <c r="H45" s="150">
        <f>H46</f>
        <v>1</v>
      </c>
    </row>
    <row r="46" spans="1:9" s="151" customFormat="1" ht="25.5">
      <c r="A46" s="72"/>
      <c r="B46" s="74"/>
      <c r="C46" s="75"/>
      <c r="D46" s="222" t="s">
        <v>678</v>
      </c>
      <c r="E46" s="223" t="s">
        <v>679</v>
      </c>
      <c r="F46" s="224"/>
      <c r="G46" s="225" t="s">
        <v>50</v>
      </c>
      <c r="H46" s="226">
        <f>F47</f>
        <v>1</v>
      </c>
      <c r="I46" s="154"/>
    </row>
    <row r="47" spans="1:9" ht="51" customHeight="1">
      <c r="A47" s="54"/>
      <c r="B47" s="55"/>
      <c r="C47" s="56"/>
      <c r="D47" s="57"/>
      <c r="E47" s="175" t="s">
        <v>820</v>
      </c>
      <c r="F47" s="179">
        <v>1</v>
      </c>
      <c r="G47" s="58"/>
      <c r="H47" s="117"/>
    </row>
    <row r="48" spans="1:9" s="144" customFormat="1" ht="15">
      <c r="A48" s="140"/>
      <c r="B48" s="69" t="s">
        <v>9</v>
      </c>
      <c r="C48" s="141"/>
      <c r="D48" s="142"/>
      <c r="E48" s="170" t="s">
        <v>131</v>
      </c>
      <c r="F48" s="171"/>
      <c r="G48" s="143"/>
      <c r="H48" s="106"/>
    </row>
    <row r="49" spans="1:9" s="144" customFormat="1" ht="25.5">
      <c r="A49" s="145">
        <f>MAX(A$2:A48)+1</f>
        <v>11</v>
      </c>
      <c r="B49" s="73" t="s">
        <v>9</v>
      </c>
      <c r="C49" s="11" t="s">
        <v>166</v>
      </c>
      <c r="D49" s="28"/>
      <c r="E49" s="182" t="s">
        <v>167</v>
      </c>
      <c r="F49" s="183"/>
      <c r="G49" s="29" t="s">
        <v>10</v>
      </c>
      <c r="H49" s="106">
        <f>H50</f>
        <v>24.62</v>
      </c>
    </row>
    <row r="50" spans="1:9" s="144" customFormat="1" ht="25.5">
      <c r="A50" s="93"/>
      <c r="B50" s="166"/>
      <c r="C50" s="12"/>
      <c r="D50" s="14" t="s">
        <v>166</v>
      </c>
      <c r="E50" s="184" t="s">
        <v>167</v>
      </c>
      <c r="F50" s="185"/>
      <c r="G50" s="14" t="s">
        <v>10</v>
      </c>
      <c r="H50" s="71">
        <f>ROUND(F52,2)</f>
        <v>24.62</v>
      </c>
    </row>
    <row r="51" spans="1:9">
      <c r="A51" s="54"/>
      <c r="B51" s="55"/>
      <c r="C51" s="56"/>
      <c r="D51" s="57"/>
      <c r="E51" s="175" t="s">
        <v>168</v>
      </c>
      <c r="F51" s="179"/>
      <c r="G51" s="58"/>
      <c r="H51" s="117"/>
    </row>
    <row r="52" spans="1:9" ht="15" customHeight="1">
      <c r="A52" s="35"/>
      <c r="B52" s="27"/>
      <c r="C52" s="26"/>
      <c r="D52" s="20"/>
      <c r="E52" s="175" t="s">
        <v>169</v>
      </c>
      <c r="F52" s="179">
        <f>7.2*11.4*0.15*2</f>
        <v>24.623999999999999</v>
      </c>
      <c r="G52" s="41"/>
      <c r="H52" s="71"/>
    </row>
    <row r="53" spans="1:9" s="151" customFormat="1" ht="25.5">
      <c r="A53" s="145">
        <f>MAX(A$2:A52)+1</f>
        <v>12</v>
      </c>
      <c r="B53" s="146" t="s">
        <v>9</v>
      </c>
      <c r="C53" s="78" t="s">
        <v>26</v>
      </c>
      <c r="D53" s="60"/>
      <c r="E53" s="172" t="s">
        <v>27</v>
      </c>
      <c r="F53" s="172"/>
      <c r="G53" s="61" t="s">
        <v>10</v>
      </c>
      <c r="H53" s="150">
        <f>H54</f>
        <v>85.66</v>
      </c>
    </row>
    <row r="54" spans="1:9" s="151" customFormat="1" ht="25.5">
      <c r="A54" s="72"/>
      <c r="B54" s="74"/>
      <c r="C54" s="75"/>
      <c r="D54" s="147" t="s">
        <v>26</v>
      </c>
      <c r="E54" s="173" t="s">
        <v>27</v>
      </c>
      <c r="F54" s="177"/>
      <c r="G54" s="152" t="s">
        <v>10</v>
      </c>
      <c r="H54" s="153">
        <f>ROUND(F58,2)</f>
        <v>85.66</v>
      </c>
      <c r="I54" s="154"/>
    </row>
    <row r="55" spans="1:9" ht="36.75" customHeight="1">
      <c r="A55" s="54"/>
      <c r="B55" s="55"/>
      <c r="C55" s="56"/>
      <c r="D55" s="57"/>
      <c r="E55" s="175" t="s">
        <v>763</v>
      </c>
      <c r="F55" s="179">
        <f>0.8*(35.19+69.48+69.48+69.48+69.48+70.06+77.63+36.34+78.48+35.17)*0.065</f>
        <v>31.76108</v>
      </c>
      <c r="G55" s="58"/>
      <c r="H55" s="117"/>
    </row>
    <row r="56" spans="1:9">
      <c r="A56" s="54"/>
      <c r="B56" s="55"/>
      <c r="C56" s="56"/>
      <c r="D56" s="57"/>
      <c r="E56" s="175" t="s">
        <v>165</v>
      </c>
      <c r="F56" s="179"/>
      <c r="G56" s="58"/>
      <c r="H56" s="117"/>
    </row>
    <row r="57" spans="1:9" ht="15" customHeight="1">
      <c r="A57" s="35"/>
      <c r="B57" s="27"/>
      <c r="C57" s="26"/>
      <c r="D57" s="20"/>
      <c r="E57" s="175" t="s">
        <v>170</v>
      </c>
      <c r="F57" s="180">
        <f>7*11*0.35*2</f>
        <v>53.9</v>
      </c>
      <c r="G57" s="41"/>
      <c r="H57" s="71"/>
    </row>
    <row r="58" spans="1:9" ht="15" customHeight="1">
      <c r="A58" s="35"/>
      <c r="B58" s="27"/>
      <c r="C58" s="26"/>
      <c r="D58" s="20"/>
      <c r="E58" s="181" t="s">
        <v>456</v>
      </c>
      <c r="F58" s="179">
        <f>SUM(F55:F57)</f>
        <v>85.661079999999998</v>
      </c>
      <c r="G58" s="41"/>
      <c r="H58" s="71"/>
    </row>
    <row r="59" spans="1:9" s="151" customFormat="1" ht="25.5">
      <c r="A59" s="145">
        <f>MAX(A$2:A57)+1</f>
        <v>13</v>
      </c>
      <c r="B59" s="146" t="s">
        <v>9</v>
      </c>
      <c r="C59" s="78" t="s">
        <v>159</v>
      </c>
      <c r="D59" s="60"/>
      <c r="E59" s="172" t="s">
        <v>160</v>
      </c>
      <c r="F59" s="172"/>
      <c r="G59" s="61" t="s">
        <v>10</v>
      </c>
      <c r="H59" s="150">
        <f>H60</f>
        <v>408.78</v>
      </c>
    </row>
    <row r="60" spans="1:9" s="151" customFormat="1" ht="25.5">
      <c r="A60" s="72"/>
      <c r="B60" s="74"/>
      <c r="C60" s="75"/>
      <c r="D60" s="147" t="s">
        <v>159</v>
      </c>
      <c r="E60" s="173" t="s">
        <v>160</v>
      </c>
      <c r="F60" s="177"/>
      <c r="G60" s="152" t="s">
        <v>10</v>
      </c>
      <c r="H60" s="153">
        <f>ROUND(F69,2)</f>
        <v>408.78</v>
      </c>
      <c r="I60" s="154"/>
    </row>
    <row r="61" spans="1:9">
      <c r="A61" s="35"/>
      <c r="B61" s="25"/>
      <c r="C61" s="23"/>
      <c r="D61" s="20"/>
      <c r="E61" s="175" t="s">
        <v>719</v>
      </c>
      <c r="F61" s="169"/>
      <c r="G61" s="41"/>
      <c r="H61" s="71"/>
    </row>
    <row r="62" spans="1:9">
      <c r="A62" s="35"/>
      <c r="B62" s="25"/>
      <c r="C62" s="23"/>
      <c r="D62" s="128"/>
      <c r="E62" s="175" t="s">
        <v>161</v>
      </c>
      <c r="F62" s="179"/>
      <c r="G62" s="41"/>
      <c r="H62" s="71"/>
    </row>
    <row r="63" spans="1:9" ht="15" customHeight="1">
      <c r="A63" s="35"/>
      <c r="B63" s="27"/>
      <c r="C63" s="26"/>
      <c r="D63" s="20"/>
      <c r="E63" s="175" t="s">
        <v>162</v>
      </c>
      <c r="F63" s="179">
        <f>0.34*(35.19+69.48+69.48+69.48+69.48+70.06+77.63+36.34+78.48+35.17+2*3)</f>
        <v>209.70859999999999</v>
      </c>
      <c r="G63" s="41"/>
      <c r="H63" s="71"/>
    </row>
    <row r="64" spans="1:9" ht="15" customHeight="1">
      <c r="A64" s="35"/>
      <c r="B64" s="27"/>
      <c r="C64" s="26"/>
      <c r="D64" s="20"/>
      <c r="E64" s="175" t="s">
        <v>163</v>
      </c>
      <c r="F64" s="179"/>
      <c r="G64" s="41"/>
      <c r="H64" s="71"/>
    </row>
    <row r="65" spans="1:9" ht="15" customHeight="1">
      <c r="A65" s="35"/>
      <c r="B65" s="27"/>
      <c r="C65" s="26"/>
      <c r="D65" s="20"/>
      <c r="E65" s="175" t="s">
        <v>164</v>
      </c>
      <c r="F65" s="180">
        <f>0.311*(35.19+69.48+69.48+69.48+69.48+70.06+77.63+36.34+78.48+35.17+2*3)</f>
        <v>191.82168999999999</v>
      </c>
      <c r="G65" s="41"/>
      <c r="H65" s="71"/>
    </row>
    <row r="66" spans="1:9">
      <c r="A66" s="35"/>
      <c r="B66" s="27"/>
      <c r="C66" s="26"/>
      <c r="D66" s="20"/>
      <c r="E66" s="181" t="s">
        <v>216</v>
      </c>
      <c r="F66" s="179">
        <f>SUM(F63:F65)</f>
        <v>401.53028999999998</v>
      </c>
      <c r="G66" s="41"/>
      <c r="H66" s="71"/>
    </row>
    <row r="67" spans="1:9" ht="15" customHeight="1">
      <c r="A67" s="35"/>
      <c r="B67" s="27"/>
      <c r="C67" s="26"/>
      <c r="D67" s="20"/>
      <c r="E67" s="175" t="s">
        <v>734</v>
      </c>
      <c r="F67" s="179"/>
      <c r="G67" s="41"/>
      <c r="H67" s="71"/>
    </row>
    <row r="68" spans="1:9" ht="15" customHeight="1">
      <c r="A68" s="35"/>
      <c r="B68" s="27"/>
      <c r="C68" s="26"/>
      <c r="D68" s="20"/>
      <c r="E68" s="175" t="s">
        <v>762</v>
      </c>
      <c r="F68" s="179">
        <f>0.153*1.33*22+2*0.14*0.15*3*22</f>
        <v>7.24878</v>
      </c>
      <c r="G68" s="41"/>
      <c r="H68" s="71"/>
    </row>
    <row r="69" spans="1:9">
      <c r="A69" s="35"/>
      <c r="B69" s="27"/>
      <c r="C69" s="26"/>
      <c r="D69" s="20"/>
      <c r="E69" s="181" t="s">
        <v>456</v>
      </c>
      <c r="F69" s="179">
        <f>F66+F68</f>
        <v>408.77906999999999</v>
      </c>
      <c r="G69" s="41"/>
      <c r="H69" s="71"/>
    </row>
    <row r="70" spans="1:9" s="151" customFormat="1" ht="25.5">
      <c r="A70" s="145">
        <f>MAX(A$2:A66)+1</f>
        <v>14</v>
      </c>
      <c r="B70" s="146" t="s">
        <v>9</v>
      </c>
      <c r="C70" s="78" t="s">
        <v>84</v>
      </c>
      <c r="D70" s="60"/>
      <c r="E70" s="172" t="s">
        <v>85</v>
      </c>
      <c r="F70" s="172"/>
      <c r="G70" s="61" t="s">
        <v>12</v>
      </c>
      <c r="H70" s="150">
        <f>H71</f>
        <v>22296.25</v>
      </c>
    </row>
    <row r="71" spans="1:9" s="151" customFormat="1" ht="25.5">
      <c r="A71" s="72"/>
      <c r="B71" s="74"/>
      <c r="C71" s="75"/>
      <c r="D71" s="147" t="s">
        <v>84</v>
      </c>
      <c r="E71" s="173" t="s">
        <v>85</v>
      </c>
      <c r="F71" s="177"/>
      <c r="G71" s="152" t="s">
        <v>12</v>
      </c>
      <c r="H71" s="153">
        <f>ROUND(F82,2)</f>
        <v>22296.25</v>
      </c>
      <c r="I71" s="154"/>
    </row>
    <row r="72" spans="1:9">
      <c r="A72" s="17"/>
      <c r="B72" s="27"/>
      <c r="C72" s="26"/>
      <c r="D72" s="21"/>
      <c r="E72" s="175" t="s">
        <v>217</v>
      </c>
      <c r="F72" s="179"/>
      <c r="G72" s="41"/>
      <c r="H72" s="71"/>
    </row>
    <row r="73" spans="1:9">
      <c r="A73" s="17"/>
      <c r="B73" s="27"/>
      <c r="C73" s="26"/>
      <c r="D73" s="21"/>
      <c r="E73" s="175" t="s">
        <v>209</v>
      </c>
      <c r="F73" s="179">
        <f>4.87*615.4</f>
        <v>2996.998</v>
      </c>
      <c r="G73" s="41"/>
      <c r="H73" s="71"/>
    </row>
    <row r="74" spans="1:9">
      <c r="A74" s="17"/>
      <c r="B74" s="27"/>
      <c r="C74" s="26"/>
      <c r="D74" s="21"/>
      <c r="E74" s="175" t="s">
        <v>210</v>
      </c>
      <c r="F74" s="179">
        <f>13.125*615.4</f>
        <v>8077.125</v>
      </c>
      <c r="G74" s="41"/>
      <c r="H74" s="71"/>
    </row>
    <row r="75" spans="1:9">
      <c r="A75" s="17"/>
      <c r="B75" s="27"/>
      <c r="C75" s="26"/>
      <c r="D75" s="21"/>
      <c r="E75" s="175" t="s">
        <v>211</v>
      </c>
      <c r="F75" s="180">
        <f>13.125*615.4</f>
        <v>8077.125</v>
      </c>
      <c r="G75" s="41"/>
      <c r="H75" s="71"/>
    </row>
    <row r="76" spans="1:9">
      <c r="A76" s="17"/>
      <c r="B76" s="25"/>
      <c r="C76" s="23"/>
      <c r="D76" s="21"/>
      <c r="E76" s="181" t="s">
        <v>216</v>
      </c>
      <c r="F76" s="179">
        <f>SUM(F73:F75)</f>
        <v>19151.248</v>
      </c>
      <c r="G76" s="41"/>
      <c r="H76" s="71"/>
    </row>
    <row r="77" spans="1:9">
      <c r="A77" s="17"/>
      <c r="B77" s="25"/>
      <c r="C77" s="23"/>
      <c r="D77" s="21"/>
      <c r="E77" s="175" t="s">
        <v>212</v>
      </c>
      <c r="F77" s="179"/>
      <c r="G77" s="41"/>
      <c r="H77" s="71"/>
    </row>
    <row r="78" spans="1:9">
      <c r="A78" s="17"/>
      <c r="B78" s="25"/>
      <c r="C78" s="23"/>
      <c r="D78" s="21"/>
      <c r="E78" s="175" t="s">
        <v>213</v>
      </c>
      <c r="F78" s="179">
        <f>2636+(5+1.25)*2*0.15*16</f>
        <v>2666</v>
      </c>
      <c r="G78" s="41"/>
      <c r="H78" s="71"/>
    </row>
    <row r="79" spans="1:9">
      <c r="A79" s="17"/>
      <c r="B79" s="25"/>
      <c r="C79" s="23"/>
      <c r="D79" s="21"/>
      <c r="E79" s="175" t="s">
        <v>214</v>
      </c>
      <c r="F79" s="179">
        <v>141</v>
      </c>
      <c r="G79" s="41"/>
      <c r="H79" s="71"/>
    </row>
    <row r="80" spans="1:9">
      <c r="A80" s="17"/>
      <c r="B80" s="25"/>
      <c r="C80" s="23"/>
      <c r="D80" s="21"/>
      <c r="E80" s="175" t="s">
        <v>215</v>
      </c>
      <c r="F80" s="180">
        <v>338</v>
      </c>
      <c r="G80" s="41"/>
      <c r="H80" s="71"/>
    </row>
    <row r="81" spans="1:13">
      <c r="A81" s="17"/>
      <c r="B81" s="27"/>
      <c r="C81" s="26"/>
      <c r="D81" s="21"/>
      <c r="E81" s="181" t="s">
        <v>216</v>
      </c>
      <c r="F81" s="179">
        <f>SUM(F78:F80)</f>
        <v>3145</v>
      </c>
      <c r="G81" s="41"/>
      <c r="H81" s="71"/>
    </row>
    <row r="82" spans="1:13" ht="12.75" customHeight="1">
      <c r="A82" s="17"/>
      <c r="B82" s="27"/>
      <c r="C82" s="26"/>
      <c r="D82" s="21"/>
      <c r="E82" s="181" t="s">
        <v>456</v>
      </c>
      <c r="F82" s="179">
        <f>F76+F81</f>
        <v>22296.248</v>
      </c>
      <c r="G82" s="41"/>
      <c r="H82" s="71"/>
    </row>
    <row r="83" spans="1:13" s="151" customFormat="1" ht="25.5">
      <c r="A83" s="145">
        <f>MAX(A$2:A82)+1</f>
        <v>15</v>
      </c>
      <c r="B83" s="146" t="s">
        <v>9</v>
      </c>
      <c r="C83" s="78" t="s">
        <v>28</v>
      </c>
      <c r="D83" s="60"/>
      <c r="E83" s="172" t="s">
        <v>29</v>
      </c>
      <c r="F83" s="172"/>
      <c r="G83" s="61" t="s">
        <v>12</v>
      </c>
      <c r="H83" s="150">
        <f>H84</f>
        <v>6565.99</v>
      </c>
    </row>
    <row r="84" spans="1:13" s="151" customFormat="1">
      <c r="A84" s="72"/>
      <c r="B84" s="74"/>
      <c r="C84" s="75"/>
      <c r="D84" s="147" t="s">
        <v>28</v>
      </c>
      <c r="E84" s="173" t="s">
        <v>29</v>
      </c>
      <c r="F84" s="177"/>
      <c r="G84" s="152" t="s">
        <v>12</v>
      </c>
      <c r="H84" s="153">
        <f>ROUND(F86,2)</f>
        <v>6565.99</v>
      </c>
      <c r="I84" s="154"/>
    </row>
    <row r="85" spans="1:13">
      <c r="A85" s="17"/>
      <c r="B85" s="186"/>
      <c r="C85" s="26"/>
      <c r="D85" s="21"/>
      <c r="E85" s="175" t="s">
        <v>589</v>
      </c>
      <c r="F85" s="179"/>
      <c r="G85" s="41"/>
      <c r="H85" s="71"/>
    </row>
    <row r="86" spans="1:13" ht="38.25">
      <c r="A86" s="17"/>
      <c r="B86" s="186"/>
      <c r="C86" s="26"/>
      <c r="D86" s="57"/>
      <c r="E86" s="175" t="s">
        <v>186</v>
      </c>
      <c r="F86" s="179">
        <f>10.75*(35.19+69.48+69.48+69.48+69.48+70.06+77.63+36.34+78.48+35.17)</f>
        <v>6565.9924999999994</v>
      </c>
      <c r="G86" s="41"/>
      <c r="H86" s="71"/>
    </row>
    <row r="87" spans="1:13" s="151" customFormat="1" ht="25.5">
      <c r="A87" s="145">
        <f>MAX(A$2:A85)+1</f>
        <v>16</v>
      </c>
      <c r="B87" s="146" t="s">
        <v>9</v>
      </c>
      <c r="C87" s="78" t="s">
        <v>470</v>
      </c>
      <c r="D87" s="60"/>
      <c r="E87" s="172" t="s">
        <v>471</v>
      </c>
      <c r="F87" s="172"/>
      <c r="G87" s="61" t="s">
        <v>13</v>
      </c>
      <c r="H87" s="150">
        <f>H88</f>
        <v>1250</v>
      </c>
    </row>
    <row r="88" spans="1:13" s="151" customFormat="1" ht="25.5">
      <c r="A88" s="72"/>
      <c r="B88" s="74"/>
      <c r="C88" s="75"/>
      <c r="D88" s="147" t="s">
        <v>472</v>
      </c>
      <c r="E88" s="173" t="s">
        <v>473</v>
      </c>
      <c r="F88" s="177"/>
      <c r="G88" s="152" t="s">
        <v>13</v>
      </c>
      <c r="H88" s="153">
        <f>ROUND(F89,2)</f>
        <v>1250</v>
      </c>
      <c r="I88" s="154"/>
    </row>
    <row r="89" spans="1:13" ht="38.25">
      <c r="A89" s="17"/>
      <c r="B89" s="186"/>
      <c r="C89" s="26"/>
      <c r="D89" s="57"/>
      <c r="E89" s="175" t="s">
        <v>725</v>
      </c>
      <c r="F89" s="179">
        <f>2*625</f>
        <v>1250</v>
      </c>
      <c r="G89" s="41"/>
      <c r="H89" s="71"/>
    </row>
    <row r="90" spans="1:13" s="151" customFormat="1" ht="25.5">
      <c r="A90" s="145">
        <f>MAX(A$2:A89)+1</f>
        <v>17</v>
      </c>
      <c r="B90" s="146" t="s">
        <v>9</v>
      </c>
      <c r="C90" s="78" t="s">
        <v>30</v>
      </c>
      <c r="D90" s="60"/>
      <c r="E90" s="172" t="s">
        <v>83</v>
      </c>
      <c r="F90" s="172"/>
      <c r="G90" s="61" t="s">
        <v>11</v>
      </c>
      <c r="H90" s="150">
        <f>H91</f>
        <v>36</v>
      </c>
    </row>
    <row r="91" spans="1:13" s="151" customFormat="1" ht="25.5">
      <c r="A91" s="72"/>
      <c r="B91" s="74"/>
      <c r="C91" s="75"/>
      <c r="D91" s="147" t="s">
        <v>30</v>
      </c>
      <c r="E91" s="173" t="s">
        <v>83</v>
      </c>
      <c r="F91" s="177"/>
      <c r="G91" s="152" t="s">
        <v>11</v>
      </c>
      <c r="H91" s="153">
        <f>F96</f>
        <v>36</v>
      </c>
      <c r="I91" s="154"/>
    </row>
    <row r="92" spans="1:13" ht="25.5">
      <c r="A92" s="17"/>
      <c r="B92" s="27"/>
      <c r="C92" s="26"/>
      <c r="D92" s="21"/>
      <c r="E92" s="175" t="s">
        <v>606</v>
      </c>
      <c r="F92" s="16">
        <v>1</v>
      </c>
      <c r="G92" s="41"/>
      <c r="H92" s="71"/>
    </row>
    <row r="93" spans="1:13" ht="25.5">
      <c r="A93" s="17"/>
      <c r="B93" s="27"/>
      <c r="C93" s="26"/>
      <c r="D93" s="21"/>
      <c r="E93" s="175" t="s">
        <v>524</v>
      </c>
      <c r="F93" s="179">
        <v>1</v>
      </c>
      <c r="G93" s="41"/>
      <c r="H93" s="71"/>
      <c r="M93" s="8"/>
    </row>
    <row r="94" spans="1:13" ht="25.5">
      <c r="A94" s="17"/>
      <c r="B94" s="27"/>
      <c r="C94" s="26"/>
      <c r="D94" s="57"/>
      <c r="E94" s="175" t="s">
        <v>607</v>
      </c>
      <c r="F94" s="179">
        <v>1</v>
      </c>
      <c r="G94" s="41"/>
      <c r="H94" s="71"/>
    </row>
    <row r="95" spans="1:13">
      <c r="A95" s="17"/>
      <c r="B95" s="27"/>
      <c r="C95" s="26"/>
      <c r="D95" s="21"/>
      <c r="E95" s="175" t="s">
        <v>654</v>
      </c>
      <c r="F95" s="180">
        <v>33</v>
      </c>
      <c r="G95" s="41"/>
      <c r="H95" s="71"/>
    </row>
    <row r="96" spans="1:13">
      <c r="A96" s="17"/>
      <c r="B96" s="27"/>
      <c r="C96" s="26"/>
      <c r="D96" s="21"/>
      <c r="E96" s="181" t="s">
        <v>456</v>
      </c>
      <c r="F96" s="179">
        <f>SUM(F92:F95)</f>
        <v>36</v>
      </c>
      <c r="G96" s="41"/>
      <c r="H96" s="71"/>
    </row>
    <row r="97" spans="1:13" s="151" customFormat="1" ht="25.5">
      <c r="A97" s="145">
        <f>MAX(A$2:A96)+1</f>
        <v>18</v>
      </c>
      <c r="B97" s="146" t="s">
        <v>9</v>
      </c>
      <c r="C97" s="78" t="s">
        <v>769</v>
      </c>
      <c r="D97" s="60"/>
      <c r="E97" s="172" t="s">
        <v>771</v>
      </c>
      <c r="F97" s="172"/>
      <c r="G97" s="61" t="s">
        <v>12</v>
      </c>
      <c r="H97" s="150">
        <f>H98</f>
        <v>517</v>
      </c>
    </row>
    <row r="98" spans="1:13" s="151" customFormat="1" ht="25.5">
      <c r="A98" s="72"/>
      <c r="B98" s="74"/>
      <c r="C98" s="75"/>
      <c r="D98" s="147" t="s">
        <v>770</v>
      </c>
      <c r="E98" s="173" t="s">
        <v>772</v>
      </c>
      <c r="F98" s="177"/>
      <c r="G98" s="152" t="s">
        <v>12</v>
      </c>
      <c r="H98" s="153">
        <f>ROUND(F100,2)</f>
        <v>517</v>
      </c>
      <c r="I98" s="154"/>
    </row>
    <row r="99" spans="1:13">
      <c r="A99" s="17"/>
      <c r="B99" s="27"/>
      <c r="C99" s="26"/>
      <c r="D99" s="21"/>
      <c r="E99" s="175" t="s">
        <v>773</v>
      </c>
      <c r="F99" s="179"/>
      <c r="G99" s="41"/>
      <c r="H99" s="71"/>
      <c r="M99" s="8"/>
    </row>
    <row r="100" spans="1:13">
      <c r="A100" s="17"/>
      <c r="B100" s="27"/>
      <c r="C100" s="26"/>
      <c r="D100" s="21"/>
      <c r="E100" s="175" t="s">
        <v>774</v>
      </c>
      <c r="F100" s="179">
        <f>11.75*2*11*2</f>
        <v>517</v>
      </c>
      <c r="G100" s="41"/>
      <c r="H100" s="71"/>
      <c r="I100" s="138"/>
      <c r="M100" s="8"/>
    </row>
    <row r="101" spans="1:13" s="151" customFormat="1" ht="25.5">
      <c r="A101" s="145">
        <f>MAX(A$2:A100)+1</f>
        <v>19</v>
      </c>
      <c r="B101" s="146" t="s">
        <v>9</v>
      </c>
      <c r="C101" s="78" t="s">
        <v>194</v>
      </c>
      <c r="D101" s="60"/>
      <c r="E101" s="172" t="s">
        <v>195</v>
      </c>
      <c r="F101" s="172"/>
      <c r="G101" s="61" t="s">
        <v>12</v>
      </c>
      <c r="H101" s="150">
        <f>H102</f>
        <v>235</v>
      </c>
    </row>
    <row r="102" spans="1:13" s="151" customFormat="1" ht="38.25">
      <c r="A102" s="72"/>
      <c r="B102" s="74"/>
      <c r="C102" s="75"/>
      <c r="D102" s="147" t="s">
        <v>196</v>
      </c>
      <c r="E102" s="173" t="s">
        <v>197</v>
      </c>
      <c r="F102" s="177"/>
      <c r="G102" s="152" t="s">
        <v>12</v>
      </c>
      <c r="H102" s="153">
        <f>ROUND(F104,2)</f>
        <v>235</v>
      </c>
      <c r="I102" s="154"/>
    </row>
    <row r="103" spans="1:13">
      <c r="A103" s="17"/>
      <c r="B103" s="27"/>
      <c r="C103" s="26"/>
      <c r="D103" s="21"/>
      <c r="E103" s="175" t="s">
        <v>190</v>
      </c>
      <c r="F103" s="16"/>
      <c r="G103" s="41"/>
      <c r="H103" s="71"/>
    </row>
    <row r="104" spans="1:13">
      <c r="A104" s="17"/>
      <c r="B104" s="27"/>
      <c r="C104" s="26"/>
      <c r="D104" s="21"/>
      <c r="E104" s="175" t="s">
        <v>198</v>
      </c>
      <c r="F104" s="16">
        <f>2*10*11.75</f>
        <v>235</v>
      </c>
      <c r="G104" s="41"/>
      <c r="H104" s="71"/>
    </row>
    <row r="105" spans="1:13" s="151" customFormat="1" ht="25.5">
      <c r="A105" s="145">
        <f>MAX(A$2:A104)+1</f>
        <v>20</v>
      </c>
      <c r="B105" s="146" t="s">
        <v>9</v>
      </c>
      <c r="C105" s="78" t="s">
        <v>199</v>
      </c>
      <c r="D105" s="60"/>
      <c r="E105" s="172" t="s">
        <v>200</v>
      </c>
      <c r="F105" s="172"/>
      <c r="G105" s="61" t="s">
        <v>12</v>
      </c>
      <c r="H105" s="150">
        <f>H106</f>
        <v>305.5</v>
      </c>
    </row>
    <row r="106" spans="1:13" s="151" customFormat="1" ht="38.25">
      <c r="A106" s="72"/>
      <c r="B106" s="74"/>
      <c r="C106" s="75"/>
      <c r="D106" s="147" t="s">
        <v>201</v>
      </c>
      <c r="E106" s="173" t="s">
        <v>202</v>
      </c>
      <c r="F106" s="177"/>
      <c r="G106" s="152" t="s">
        <v>12</v>
      </c>
      <c r="H106" s="153">
        <f>ROUND(F108,2)</f>
        <v>305.5</v>
      </c>
      <c r="I106" s="154"/>
    </row>
    <row r="107" spans="1:13">
      <c r="A107" s="17"/>
      <c r="B107" s="27"/>
      <c r="C107" s="26"/>
      <c r="D107" s="21"/>
      <c r="E107" s="175" t="s">
        <v>190</v>
      </c>
      <c r="F107" s="16"/>
      <c r="G107" s="41"/>
      <c r="H107" s="71"/>
    </row>
    <row r="108" spans="1:13">
      <c r="A108" s="17"/>
      <c r="B108" s="186"/>
      <c r="C108" s="14"/>
      <c r="D108" s="21"/>
      <c r="E108" s="175" t="s">
        <v>203</v>
      </c>
      <c r="F108" s="179">
        <f>2*13*11.75</f>
        <v>305.5</v>
      </c>
      <c r="G108" s="41"/>
      <c r="H108" s="71"/>
    </row>
    <row r="109" spans="1:13" s="151" customFormat="1" ht="25.5">
      <c r="A109" s="145">
        <f>MAX(A$2:A108)+1</f>
        <v>21</v>
      </c>
      <c r="B109" s="146" t="s">
        <v>9</v>
      </c>
      <c r="C109" s="78" t="s">
        <v>171</v>
      </c>
      <c r="D109" s="60"/>
      <c r="E109" s="172" t="s">
        <v>172</v>
      </c>
      <c r="F109" s="172"/>
      <c r="G109" s="61" t="s">
        <v>12</v>
      </c>
      <c r="H109" s="150">
        <f>H110</f>
        <v>48</v>
      </c>
    </row>
    <row r="110" spans="1:13" s="151" customFormat="1" ht="25.5">
      <c r="A110" s="72"/>
      <c r="B110" s="74"/>
      <c r="C110" s="75"/>
      <c r="D110" s="147" t="s">
        <v>173</v>
      </c>
      <c r="E110" s="173" t="s">
        <v>174</v>
      </c>
      <c r="F110" s="177"/>
      <c r="G110" s="152" t="s">
        <v>12</v>
      </c>
      <c r="H110" s="153">
        <f>ROUND(F111,2)</f>
        <v>48</v>
      </c>
      <c r="I110" s="154"/>
    </row>
    <row r="111" spans="1:13">
      <c r="A111" s="17"/>
      <c r="B111" s="186"/>
      <c r="C111" s="11"/>
      <c r="D111" s="21"/>
      <c r="E111" s="175" t="s">
        <v>703</v>
      </c>
      <c r="F111" s="179">
        <f>(25+15)*2*0.6</f>
        <v>48</v>
      </c>
      <c r="G111" s="41"/>
      <c r="H111" s="71"/>
    </row>
    <row r="112" spans="1:13" s="151" customFormat="1" ht="38.25">
      <c r="A112" s="145">
        <f>MAX(A$2:A111)+1</f>
        <v>22</v>
      </c>
      <c r="B112" s="146" t="s">
        <v>9</v>
      </c>
      <c r="C112" s="78" t="s">
        <v>179</v>
      </c>
      <c r="D112" s="60"/>
      <c r="E112" s="172" t="s">
        <v>180</v>
      </c>
      <c r="F112" s="172"/>
      <c r="G112" s="61" t="s">
        <v>13</v>
      </c>
      <c r="H112" s="150">
        <f>H113</f>
        <v>20</v>
      </c>
    </row>
    <row r="113" spans="1:9" s="151" customFormat="1" ht="38.25">
      <c r="A113" s="72"/>
      <c r="B113" s="74"/>
      <c r="C113" s="75"/>
      <c r="D113" s="147" t="s">
        <v>179</v>
      </c>
      <c r="E113" s="173" t="s">
        <v>180</v>
      </c>
      <c r="F113" s="177"/>
      <c r="G113" s="152" t="s">
        <v>13</v>
      </c>
      <c r="H113" s="153">
        <f>F114</f>
        <v>20</v>
      </c>
      <c r="I113" s="154"/>
    </row>
    <row r="114" spans="1:9">
      <c r="A114" s="17"/>
      <c r="B114" s="25"/>
      <c r="C114" s="23"/>
      <c r="D114" s="21"/>
      <c r="E114" s="175" t="s">
        <v>608</v>
      </c>
      <c r="F114" s="16">
        <f>5*4</f>
        <v>20</v>
      </c>
      <c r="G114" s="42"/>
      <c r="H114" s="71"/>
    </row>
    <row r="115" spans="1:9" s="144" customFormat="1" ht="38.25">
      <c r="A115" s="145">
        <f>MAX(A$2:A114)+1</f>
        <v>23</v>
      </c>
      <c r="B115" s="73" t="s">
        <v>9</v>
      </c>
      <c r="C115" s="11" t="s">
        <v>176</v>
      </c>
      <c r="D115" s="28"/>
      <c r="E115" s="182" t="s">
        <v>177</v>
      </c>
      <c r="F115" s="183"/>
      <c r="G115" s="29" t="s">
        <v>13</v>
      </c>
      <c r="H115" s="70">
        <f>H116</f>
        <v>1308.4000000000001</v>
      </c>
    </row>
    <row r="116" spans="1:9" s="144" customFormat="1" ht="25.5">
      <c r="A116" s="155"/>
      <c r="B116" s="187"/>
      <c r="C116" s="14"/>
      <c r="D116" s="30" t="s">
        <v>176</v>
      </c>
      <c r="E116" s="188" t="s">
        <v>177</v>
      </c>
      <c r="F116" s="189"/>
      <c r="G116" s="31" t="s">
        <v>13</v>
      </c>
      <c r="H116" s="71">
        <f>F122</f>
        <v>1308.4000000000001</v>
      </c>
    </row>
    <row r="117" spans="1:9">
      <c r="A117" s="17"/>
      <c r="B117" s="27"/>
      <c r="C117" s="26"/>
      <c r="D117" s="21"/>
      <c r="E117" s="175" t="s">
        <v>183</v>
      </c>
      <c r="F117" s="16"/>
      <c r="G117" s="42"/>
      <c r="H117" s="71"/>
    </row>
    <row r="118" spans="1:9">
      <c r="A118" s="17"/>
      <c r="B118" s="27"/>
      <c r="C118" s="26"/>
      <c r="D118" s="21"/>
      <c r="E118" s="175" t="s">
        <v>178</v>
      </c>
      <c r="F118" s="179">
        <f>28+28</f>
        <v>56</v>
      </c>
      <c r="G118" s="41"/>
      <c r="H118" s="71"/>
    </row>
    <row r="119" spans="1:9">
      <c r="A119" s="17"/>
      <c r="B119" s="186"/>
      <c r="C119" s="26"/>
      <c r="D119" s="21"/>
      <c r="E119" s="175" t="s">
        <v>523</v>
      </c>
      <c r="F119" s="179">
        <f>2.2*2</f>
        <v>4.4000000000000004</v>
      </c>
      <c r="G119" s="41"/>
      <c r="H119" s="71"/>
    </row>
    <row r="120" spans="1:9" ht="25.5">
      <c r="A120" s="17"/>
      <c r="B120" s="186"/>
      <c r="C120" s="11"/>
      <c r="D120" s="21"/>
      <c r="E120" s="175" t="s">
        <v>181</v>
      </c>
      <c r="F120" s="179"/>
      <c r="G120" s="41"/>
      <c r="H120" s="71"/>
    </row>
    <row r="121" spans="1:9">
      <c r="A121" s="17"/>
      <c r="B121" s="186"/>
      <c r="C121" s="11"/>
      <c r="D121" s="21"/>
      <c r="E121" s="175" t="s">
        <v>182</v>
      </c>
      <c r="F121" s="180">
        <f>624+624</f>
        <v>1248</v>
      </c>
      <c r="G121" s="41"/>
      <c r="H121" s="71"/>
    </row>
    <row r="122" spans="1:9">
      <c r="A122" s="17"/>
      <c r="B122" s="186"/>
      <c r="C122" s="11"/>
      <c r="D122" s="21"/>
      <c r="E122" s="175"/>
      <c r="F122" s="179">
        <f>SUM(F118:F121)</f>
        <v>1308.4000000000001</v>
      </c>
      <c r="G122" s="41"/>
      <c r="H122" s="71"/>
    </row>
    <row r="123" spans="1:9" s="144" customFormat="1" ht="25.5">
      <c r="A123" s="145">
        <f>MAX(A$2:A122)+1</f>
        <v>24</v>
      </c>
      <c r="B123" s="73" t="s">
        <v>9</v>
      </c>
      <c r="C123" s="11" t="s">
        <v>525</v>
      </c>
      <c r="D123" s="28"/>
      <c r="E123" s="182" t="s">
        <v>526</v>
      </c>
      <c r="F123" s="183"/>
      <c r="G123" s="29" t="s">
        <v>11</v>
      </c>
      <c r="H123" s="70">
        <f>H124</f>
        <v>7</v>
      </c>
    </row>
    <row r="124" spans="1:9" s="144" customFormat="1" ht="25.5">
      <c r="A124" s="155"/>
      <c r="B124" s="187"/>
      <c r="C124" s="14"/>
      <c r="D124" s="30" t="s">
        <v>525</v>
      </c>
      <c r="E124" s="188" t="s">
        <v>526</v>
      </c>
      <c r="F124" s="189"/>
      <c r="G124" s="31" t="s">
        <v>11</v>
      </c>
      <c r="H124" s="71">
        <f>F125</f>
        <v>7</v>
      </c>
    </row>
    <row r="125" spans="1:9" ht="25.5">
      <c r="A125" s="17"/>
      <c r="B125" s="186"/>
      <c r="C125" s="11"/>
      <c r="D125" s="21"/>
      <c r="E125" s="175" t="s">
        <v>609</v>
      </c>
      <c r="F125" s="179">
        <v>7</v>
      </c>
      <c r="G125" s="41"/>
      <c r="H125" s="71"/>
    </row>
    <row r="126" spans="1:9" s="144" customFormat="1" ht="25.5">
      <c r="A126" s="145">
        <f>MAX(A$2:A125)+1</f>
        <v>25</v>
      </c>
      <c r="B126" s="73" t="s">
        <v>9</v>
      </c>
      <c r="C126" s="11" t="s">
        <v>31</v>
      </c>
      <c r="D126" s="28"/>
      <c r="E126" s="182" t="s">
        <v>32</v>
      </c>
      <c r="F126" s="183"/>
      <c r="G126" s="29" t="s">
        <v>10</v>
      </c>
      <c r="H126" s="70">
        <f>H127</f>
        <v>61.92</v>
      </c>
    </row>
    <row r="127" spans="1:9" s="144" customFormat="1" ht="25.5">
      <c r="A127" s="155"/>
      <c r="B127" s="187"/>
      <c r="C127" s="14"/>
      <c r="D127" s="30" t="s">
        <v>31</v>
      </c>
      <c r="E127" s="188" t="s">
        <v>32</v>
      </c>
      <c r="F127" s="189"/>
      <c r="G127" s="31" t="s">
        <v>10</v>
      </c>
      <c r="H127" s="71">
        <f>ROUND(F130,2)</f>
        <v>61.92</v>
      </c>
    </row>
    <row r="128" spans="1:9" ht="25.5">
      <c r="A128" s="17"/>
      <c r="B128" s="27"/>
      <c r="C128" s="26"/>
      <c r="D128" s="21"/>
      <c r="E128" s="175" t="s">
        <v>610</v>
      </c>
      <c r="F128" s="16">
        <f>1.5*(149+102)*0.1*0.3</f>
        <v>11.295</v>
      </c>
      <c r="G128" s="42"/>
      <c r="H128" s="71"/>
    </row>
    <row r="129" spans="1:8" ht="25.5">
      <c r="A129" s="17"/>
      <c r="B129" s="27"/>
      <c r="C129" s="26"/>
      <c r="D129" s="21"/>
      <c r="E129" s="175" t="s">
        <v>175</v>
      </c>
      <c r="F129" s="180">
        <f>1.5*(149+102)*0.1+1.5*(10.2+7.1)*0.5</f>
        <v>50.625</v>
      </c>
      <c r="G129" s="41"/>
      <c r="H129" s="71"/>
    </row>
    <row r="130" spans="1:8">
      <c r="A130" s="17"/>
      <c r="B130" s="27"/>
      <c r="C130" s="26"/>
      <c r="D130" s="21"/>
      <c r="E130" s="181" t="s">
        <v>456</v>
      </c>
      <c r="F130" s="179">
        <f>SUM(F128:F129)</f>
        <v>61.92</v>
      </c>
      <c r="G130" s="41"/>
      <c r="H130" s="71"/>
    </row>
    <row r="131" spans="1:8" s="144" customFormat="1" ht="14.25">
      <c r="A131" s="145">
        <f>MAX(A$2:A129)+1</f>
        <v>26</v>
      </c>
      <c r="B131" s="73" t="s">
        <v>9</v>
      </c>
      <c r="C131" s="11" t="s">
        <v>14</v>
      </c>
      <c r="D131" s="28"/>
      <c r="E131" s="182" t="s">
        <v>15</v>
      </c>
      <c r="F131" s="183"/>
      <c r="G131" s="29" t="s">
        <v>16</v>
      </c>
      <c r="H131" s="70">
        <f>H132</f>
        <v>6165.15</v>
      </c>
    </row>
    <row r="132" spans="1:8" s="144" customFormat="1">
      <c r="A132" s="155"/>
      <c r="B132" s="187"/>
      <c r="C132" s="14"/>
      <c r="D132" s="30" t="s">
        <v>17</v>
      </c>
      <c r="E132" s="188" t="s">
        <v>18</v>
      </c>
      <c r="F132" s="189"/>
      <c r="G132" s="31" t="s">
        <v>16</v>
      </c>
      <c r="H132" s="71">
        <f>ROUND(F158,2)</f>
        <v>6165.15</v>
      </c>
    </row>
    <row r="133" spans="1:8" ht="12.75" customHeight="1">
      <c r="A133" s="17"/>
      <c r="B133" s="27"/>
      <c r="C133" s="26"/>
      <c r="D133" s="21"/>
      <c r="E133" s="175" t="s">
        <v>73</v>
      </c>
      <c r="F133" s="179"/>
      <c r="G133" s="41"/>
      <c r="H133" s="71"/>
    </row>
    <row r="134" spans="1:8" ht="12.75" customHeight="1">
      <c r="A134" s="17"/>
      <c r="B134" s="27"/>
      <c r="C134" s="26"/>
      <c r="D134" s="21"/>
      <c r="E134" s="175" t="s">
        <v>590</v>
      </c>
      <c r="F134" s="16">
        <f>24.62*2.5</f>
        <v>61.550000000000004</v>
      </c>
      <c r="G134" s="42"/>
      <c r="H134" s="71"/>
    </row>
    <row r="135" spans="1:8" ht="12.75" customHeight="1">
      <c r="A135" s="17"/>
      <c r="B135" s="27"/>
      <c r="C135" s="26"/>
      <c r="D135" s="21"/>
      <c r="E135" s="175" t="s">
        <v>764</v>
      </c>
      <c r="F135" s="16">
        <f xml:space="preserve"> (85.66+401.53)*2.4</f>
        <v>1169.2559999999999</v>
      </c>
      <c r="G135" s="42"/>
      <c r="H135" s="71"/>
    </row>
    <row r="136" spans="1:8" ht="12.75" customHeight="1">
      <c r="A136" s="17"/>
      <c r="B136" s="27"/>
      <c r="C136" s="26"/>
      <c r="D136" s="21"/>
      <c r="E136" s="175" t="s">
        <v>591</v>
      </c>
      <c r="F136" s="16">
        <f>22296.25*0.07</f>
        <v>1560.7375000000002</v>
      </c>
      <c r="G136" s="42"/>
      <c r="H136" s="71"/>
    </row>
    <row r="137" spans="1:8" ht="12.75" customHeight="1">
      <c r="A137" s="17"/>
      <c r="B137" s="27"/>
      <c r="C137" s="26"/>
      <c r="D137" s="21"/>
      <c r="E137" s="175" t="s">
        <v>592</v>
      </c>
      <c r="F137" s="16">
        <f>6565.99*0.073</f>
        <v>479.31726999999995</v>
      </c>
      <c r="G137" s="42"/>
      <c r="H137" s="71"/>
    </row>
    <row r="138" spans="1:8" ht="12.75" customHeight="1">
      <c r="A138" s="17"/>
      <c r="B138" s="27"/>
      <c r="C138" s="26"/>
      <c r="D138" s="21"/>
      <c r="E138" s="175" t="s">
        <v>593</v>
      </c>
      <c r="F138" s="16">
        <f>235*0.44</f>
        <v>103.4</v>
      </c>
      <c r="G138" s="42"/>
      <c r="H138" s="71"/>
    </row>
    <row r="139" spans="1:8" ht="12.75" customHeight="1">
      <c r="A139" s="17"/>
      <c r="B139" s="27"/>
      <c r="C139" s="26"/>
      <c r="D139" s="21"/>
      <c r="E139" s="175" t="s">
        <v>594</v>
      </c>
      <c r="F139" s="16">
        <f>305.5*0.4</f>
        <v>122.2</v>
      </c>
      <c r="G139" s="42"/>
      <c r="H139" s="71"/>
    </row>
    <row r="140" spans="1:8" ht="12.75" customHeight="1">
      <c r="A140" s="17"/>
      <c r="B140" s="27"/>
      <c r="C140" s="26"/>
      <c r="D140" s="21"/>
      <c r="E140" s="175" t="s">
        <v>595</v>
      </c>
      <c r="F140" s="16">
        <f>24*0.288</f>
        <v>6.911999999999999</v>
      </c>
      <c r="G140" s="42"/>
      <c r="H140" s="71"/>
    </row>
    <row r="141" spans="1:8" ht="12.75" customHeight="1">
      <c r="A141" s="17"/>
      <c r="B141" s="27"/>
      <c r="C141" s="26"/>
      <c r="D141" s="21"/>
      <c r="E141" s="175" t="s">
        <v>596</v>
      </c>
      <c r="F141" s="16">
        <f xml:space="preserve"> 61.92*2.2</f>
        <v>136.22400000000002</v>
      </c>
      <c r="G141" s="42"/>
      <c r="H141" s="71"/>
    </row>
    <row r="142" spans="1:8" ht="12.75" customHeight="1">
      <c r="A142" s="17"/>
      <c r="B142" s="27"/>
      <c r="C142" s="26"/>
      <c r="D142" s="21"/>
      <c r="E142" s="175" t="s">
        <v>598</v>
      </c>
      <c r="F142" s="64">
        <f xml:space="preserve"> 8013.56*0.056</f>
        <v>448.75936000000002</v>
      </c>
      <c r="G142" s="42"/>
      <c r="H142" s="71"/>
    </row>
    <row r="143" spans="1:8" ht="12.75" customHeight="1">
      <c r="A143" s="17"/>
      <c r="B143" s="27"/>
      <c r="C143" s="26"/>
      <c r="D143" s="21"/>
      <c r="E143" s="190" t="s">
        <v>55</v>
      </c>
      <c r="F143" s="16">
        <f>SUM(F134:F142)</f>
        <v>4088.3561299999997</v>
      </c>
      <c r="G143" s="42"/>
      <c r="H143" s="71"/>
    </row>
    <row r="144" spans="1:8" ht="12.75" customHeight="1">
      <c r="A144" s="17"/>
      <c r="B144" s="27"/>
      <c r="C144" s="26"/>
      <c r="D144" s="21"/>
      <c r="E144" s="175" t="s">
        <v>597</v>
      </c>
      <c r="F144" s="64"/>
      <c r="G144" s="42"/>
      <c r="H144" s="71"/>
    </row>
    <row r="145" spans="1:8">
      <c r="A145" s="17"/>
      <c r="B145" s="27"/>
      <c r="C145" s="26"/>
      <c r="D145" s="21"/>
      <c r="E145" s="175" t="s">
        <v>775</v>
      </c>
      <c r="F145" s="16">
        <f>1175*0.112+13597.29*0.127</f>
        <v>1858.4558300000001</v>
      </c>
      <c r="G145" s="42"/>
      <c r="H145" s="71"/>
    </row>
    <row r="146" spans="1:8">
      <c r="A146" s="17"/>
      <c r="B146" s="27"/>
      <c r="C146" s="26"/>
      <c r="D146" s="21"/>
      <c r="E146" s="175" t="s">
        <v>776</v>
      </c>
      <c r="F146" s="64">
        <f>11.75*2*11*2*0.181</f>
        <v>93.576999999999998</v>
      </c>
      <c r="G146" s="42"/>
      <c r="H146" s="71"/>
    </row>
    <row r="147" spans="1:8">
      <c r="A147" s="17"/>
      <c r="B147" s="27"/>
      <c r="C147" s="26"/>
      <c r="D147" s="21"/>
      <c r="E147" s="190" t="s">
        <v>777</v>
      </c>
      <c r="F147" s="16">
        <f>SUM(F145:F146)</f>
        <v>1952.0328300000001</v>
      </c>
      <c r="G147" s="42"/>
      <c r="H147" s="71"/>
    </row>
    <row r="148" spans="1:8">
      <c r="A148" s="17"/>
      <c r="B148" s="27"/>
      <c r="C148" s="26"/>
      <c r="D148" s="21"/>
      <c r="E148" s="175"/>
      <c r="F148" s="16"/>
      <c r="G148" s="42"/>
      <c r="H148" s="71"/>
    </row>
    <row r="149" spans="1:8">
      <c r="A149" s="17"/>
      <c r="B149" s="27"/>
      <c r="C149" s="26"/>
      <c r="D149" s="21"/>
      <c r="E149" s="175" t="s">
        <v>693</v>
      </c>
      <c r="F149" s="16">
        <f>20*2.088/4</f>
        <v>10.440000000000001</v>
      </c>
      <c r="G149" s="42"/>
      <c r="H149" s="71"/>
    </row>
    <row r="150" spans="1:8" ht="12.75" customHeight="1">
      <c r="A150" s="17"/>
      <c r="B150" s="27"/>
      <c r="C150" s="26"/>
      <c r="D150" s="21"/>
      <c r="E150" s="175" t="s">
        <v>56</v>
      </c>
      <c r="F150" s="38"/>
      <c r="G150" s="42"/>
      <c r="H150" s="71"/>
    </row>
    <row r="151" spans="1:8" ht="12.75" customHeight="1">
      <c r="A151" s="17"/>
      <c r="B151" s="27"/>
      <c r="C151" s="26"/>
      <c r="D151" s="21"/>
      <c r="E151" s="175" t="s">
        <v>682</v>
      </c>
      <c r="F151" s="16">
        <f>56*0.042</f>
        <v>2.3520000000000003</v>
      </c>
      <c r="G151" s="42"/>
      <c r="H151" s="71"/>
    </row>
    <row r="152" spans="1:8" ht="12.75" customHeight="1">
      <c r="A152" s="17"/>
      <c r="B152" s="27"/>
      <c r="C152" s="26"/>
      <c r="D152" s="21"/>
      <c r="E152" s="175" t="s">
        <v>681</v>
      </c>
      <c r="F152" s="16">
        <f>4.4*1.75*0.01</f>
        <v>7.7000000000000013E-2</v>
      </c>
      <c r="G152" s="42"/>
      <c r="H152" s="71"/>
    </row>
    <row r="153" spans="1:8" ht="12.75" customHeight="1">
      <c r="A153" s="17"/>
      <c r="B153" s="27"/>
      <c r="C153" s="26"/>
      <c r="D153" s="21"/>
      <c r="E153" s="175" t="s">
        <v>680</v>
      </c>
      <c r="F153" s="16">
        <f>1248*0.083</f>
        <v>103.584</v>
      </c>
      <c r="G153" s="42"/>
      <c r="H153" s="71"/>
    </row>
    <row r="154" spans="1:8" ht="12.75" customHeight="1">
      <c r="A154" s="17"/>
      <c r="B154" s="27"/>
      <c r="C154" s="26"/>
      <c r="D154" s="21"/>
      <c r="E154" s="175" t="s">
        <v>691</v>
      </c>
      <c r="F154" s="16">
        <f>31*2*0.001</f>
        <v>6.2E-2</v>
      </c>
      <c r="G154" s="42"/>
      <c r="H154" s="71"/>
    </row>
    <row r="155" spans="1:8" ht="12.75" customHeight="1">
      <c r="A155" s="17"/>
      <c r="B155" s="27"/>
      <c r="C155" s="26"/>
      <c r="D155" s="21"/>
      <c r="E155" s="175" t="s">
        <v>692</v>
      </c>
      <c r="F155" s="64">
        <f>33*0.25</f>
        <v>8.25</v>
      </c>
      <c r="G155" s="42"/>
      <c r="H155" s="71"/>
    </row>
    <row r="156" spans="1:8" ht="12.75" customHeight="1">
      <c r="A156" s="17"/>
      <c r="B156" s="27"/>
      <c r="C156" s="26"/>
      <c r="D156" s="21"/>
      <c r="E156" s="190" t="s">
        <v>683</v>
      </c>
      <c r="F156" s="16">
        <f>SUM(F151:F155)</f>
        <v>114.325</v>
      </c>
      <c r="G156" s="42"/>
      <c r="H156" s="71"/>
    </row>
    <row r="157" spans="1:8" ht="12.75" customHeight="1">
      <c r="A157" s="17"/>
      <c r="B157" s="25"/>
      <c r="C157" s="23"/>
      <c r="D157" s="21"/>
      <c r="E157" s="190"/>
      <c r="F157" s="16"/>
      <c r="G157" s="42"/>
      <c r="H157" s="71"/>
    </row>
    <row r="158" spans="1:8" ht="12.75" customHeight="1">
      <c r="A158" s="17"/>
      <c r="B158" s="25"/>
      <c r="C158" s="23"/>
      <c r="D158" s="21"/>
      <c r="E158" s="190" t="s">
        <v>57</v>
      </c>
      <c r="F158" s="16">
        <f>F143+F147+F149+F156</f>
        <v>6165.1539599999996</v>
      </c>
      <c r="G158" s="42"/>
      <c r="H158" s="71"/>
    </row>
    <row r="159" spans="1:8" s="144" customFormat="1" ht="25.5">
      <c r="A159" s="145">
        <f>MAX(A$2:A158)+1</f>
        <v>27</v>
      </c>
      <c r="B159" s="73" t="s">
        <v>9</v>
      </c>
      <c r="C159" s="11" t="s">
        <v>33</v>
      </c>
      <c r="D159" s="28"/>
      <c r="E159" s="182" t="s">
        <v>34</v>
      </c>
      <c r="F159" s="183"/>
      <c r="G159" s="29" t="s">
        <v>12</v>
      </c>
      <c r="H159" s="70">
        <f>H160</f>
        <v>22788.25</v>
      </c>
    </row>
    <row r="160" spans="1:8" s="144" customFormat="1" ht="25.5">
      <c r="A160" s="155"/>
      <c r="B160" s="187"/>
      <c r="C160" s="14"/>
      <c r="D160" s="30" t="s">
        <v>35</v>
      </c>
      <c r="E160" s="188" t="s">
        <v>36</v>
      </c>
      <c r="F160" s="189"/>
      <c r="G160" s="31" t="s">
        <v>12</v>
      </c>
      <c r="H160" s="71">
        <f>ROUND(F172,2)</f>
        <v>22788.25</v>
      </c>
    </row>
    <row r="161" spans="1:8" ht="12.75" customHeight="1">
      <c r="A161" s="17"/>
      <c r="B161" s="27"/>
      <c r="C161" s="26"/>
      <c r="D161" s="21"/>
      <c r="E161" s="175" t="s">
        <v>208</v>
      </c>
      <c r="F161" s="179"/>
      <c r="G161" s="41"/>
      <c r="H161" s="71"/>
    </row>
    <row r="162" spans="1:8" ht="12.75" customHeight="1">
      <c r="A162" s="35"/>
      <c r="B162" s="27"/>
      <c r="C162" s="26"/>
      <c r="D162" s="21"/>
      <c r="E162" s="175" t="s">
        <v>209</v>
      </c>
      <c r="F162" s="179">
        <f>4.87*615.4</f>
        <v>2996.998</v>
      </c>
      <c r="G162" s="41"/>
      <c r="H162" s="71"/>
    </row>
    <row r="163" spans="1:8" ht="12.75" customHeight="1">
      <c r="A163" s="35"/>
      <c r="B163" s="27"/>
      <c r="C163" s="26"/>
      <c r="D163" s="21"/>
      <c r="E163" s="175" t="s">
        <v>210</v>
      </c>
      <c r="F163" s="179">
        <f>13.125*615.4</f>
        <v>8077.125</v>
      </c>
      <c r="G163" s="41"/>
      <c r="H163" s="71"/>
    </row>
    <row r="164" spans="1:8" ht="12.75" customHeight="1">
      <c r="A164" s="35"/>
      <c r="B164" s="27"/>
      <c r="C164" s="26"/>
      <c r="D164" s="21"/>
      <c r="E164" s="175" t="s">
        <v>211</v>
      </c>
      <c r="F164" s="180">
        <f>13.125*615.4</f>
        <v>8077.125</v>
      </c>
      <c r="G164" s="41"/>
      <c r="H164" s="71"/>
    </row>
    <row r="165" spans="1:8" ht="12.75" customHeight="1">
      <c r="A165" s="35"/>
      <c r="B165" s="27"/>
      <c r="C165" s="26"/>
      <c r="D165" s="21"/>
      <c r="E165" s="175" t="s">
        <v>216</v>
      </c>
      <c r="F165" s="179">
        <f>SUM(F162:F164)</f>
        <v>19151.248</v>
      </c>
      <c r="G165" s="41"/>
      <c r="H165" s="71"/>
    </row>
    <row r="166" spans="1:8" ht="12.75" customHeight="1">
      <c r="A166" s="35"/>
      <c r="B166" s="27"/>
      <c r="C166" s="26"/>
      <c r="D166" s="21"/>
      <c r="E166" s="175" t="s">
        <v>212</v>
      </c>
      <c r="F166" s="179"/>
      <c r="G166" s="41"/>
      <c r="H166" s="71"/>
    </row>
    <row r="167" spans="1:8" ht="12.75" customHeight="1">
      <c r="A167" s="35"/>
      <c r="B167" s="27"/>
      <c r="C167" s="26"/>
      <c r="D167" s="57"/>
      <c r="E167" s="175" t="s">
        <v>213</v>
      </c>
      <c r="F167" s="179">
        <f>2636+(5+1.25)*2*0.15*16</f>
        <v>2666</v>
      </c>
      <c r="G167" s="41"/>
      <c r="H167" s="71"/>
    </row>
    <row r="168" spans="1:8" ht="12.75" customHeight="1">
      <c r="A168" s="35"/>
      <c r="B168" s="27"/>
      <c r="C168" s="26"/>
      <c r="D168" s="57"/>
      <c r="E168" s="175" t="s">
        <v>214</v>
      </c>
      <c r="F168" s="179">
        <v>141</v>
      </c>
      <c r="G168" s="41"/>
      <c r="H168" s="71"/>
    </row>
    <row r="169" spans="1:8" ht="12.75" customHeight="1">
      <c r="A169" s="35"/>
      <c r="B169" s="27"/>
      <c r="C169" s="26"/>
      <c r="D169" s="21"/>
      <c r="E169" s="175" t="s">
        <v>215</v>
      </c>
      <c r="F169" s="180">
        <v>338</v>
      </c>
      <c r="G169" s="41"/>
      <c r="H169" s="71"/>
    </row>
    <row r="170" spans="1:8" ht="12.75" customHeight="1">
      <c r="A170" s="35"/>
      <c r="B170" s="27"/>
      <c r="C170" s="26"/>
      <c r="D170" s="21"/>
      <c r="E170" s="181" t="s">
        <v>216</v>
      </c>
      <c r="F170" s="179">
        <f>SUM(F167:F169)</f>
        <v>3145</v>
      </c>
      <c r="G170" s="41"/>
      <c r="H170" s="71"/>
    </row>
    <row r="171" spans="1:8" ht="12.75" customHeight="1">
      <c r="A171" s="35"/>
      <c r="B171" s="27"/>
      <c r="C171" s="26"/>
      <c r="D171" s="21"/>
      <c r="E171" s="175" t="s">
        <v>733</v>
      </c>
      <c r="F171" s="180">
        <f>(146+100)*2</f>
        <v>492</v>
      </c>
      <c r="G171" s="41"/>
      <c r="H171" s="71"/>
    </row>
    <row r="172" spans="1:8" ht="12.75" customHeight="1">
      <c r="A172" s="35"/>
      <c r="B172" s="27"/>
      <c r="C172" s="26"/>
      <c r="D172" s="21"/>
      <c r="E172" s="181" t="s">
        <v>456</v>
      </c>
      <c r="F172" s="179">
        <f>F165+F170+F171</f>
        <v>22788.248</v>
      </c>
      <c r="G172" s="41"/>
      <c r="H172" s="71"/>
    </row>
    <row r="173" spans="1:8" s="144" customFormat="1" ht="25.5">
      <c r="A173" s="145">
        <f>MAX(A$2:A172)+1</f>
        <v>28</v>
      </c>
      <c r="B173" s="73" t="s">
        <v>9</v>
      </c>
      <c r="C173" s="11" t="s">
        <v>98</v>
      </c>
      <c r="D173" s="28"/>
      <c r="E173" s="182" t="s">
        <v>99</v>
      </c>
      <c r="F173" s="183"/>
      <c r="G173" s="29" t="s">
        <v>12</v>
      </c>
      <c r="H173" s="70">
        <f>H174</f>
        <v>30.6</v>
      </c>
    </row>
    <row r="174" spans="1:8" s="144" customFormat="1" ht="25.5">
      <c r="A174" s="155"/>
      <c r="B174" s="187"/>
      <c r="C174" s="14"/>
      <c r="D174" s="30" t="s">
        <v>100</v>
      </c>
      <c r="E174" s="188" t="s">
        <v>101</v>
      </c>
      <c r="F174" s="189"/>
      <c r="G174" s="31" t="s">
        <v>12</v>
      </c>
      <c r="H174" s="71">
        <f>ROUND(F175,2)</f>
        <v>30.6</v>
      </c>
    </row>
    <row r="175" spans="1:8" ht="12.75" customHeight="1">
      <c r="A175" s="35"/>
      <c r="B175" s="27"/>
      <c r="C175" s="26"/>
      <c r="D175" s="21"/>
      <c r="E175" s="175" t="s">
        <v>633</v>
      </c>
      <c r="F175" s="179">
        <f>10*17*2*0.3*0.3</f>
        <v>30.599999999999998</v>
      </c>
      <c r="G175" s="41"/>
      <c r="H175" s="71"/>
    </row>
    <row r="176" spans="1:8" s="144" customFormat="1" ht="25.5">
      <c r="A176" s="145">
        <f>MAX(A$2:A175)+1</f>
        <v>29</v>
      </c>
      <c r="B176" s="73" t="s">
        <v>9</v>
      </c>
      <c r="C176" s="11" t="s">
        <v>184</v>
      </c>
      <c r="D176" s="28"/>
      <c r="E176" s="182" t="s">
        <v>185</v>
      </c>
      <c r="F176" s="183"/>
      <c r="G176" s="29" t="s">
        <v>12</v>
      </c>
      <c r="H176" s="70">
        <f>H177+H180</f>
        <v>14772.29</v>
      </c>
    </row>
    <row r="177" spans="1:9" s="144" customFormat="1" ht="25.5">
      <c r="A177" s="155"/>
      <c r="B177" s="187"/>
      <c r="C177" s="14"/>
      <c r="D177" s="30" t="s">
        <v>188</v>
      </c>
      <c r="E177" s="188" t="s">
        <v>189</v>
      </c>
      <c r="F177" s="189"/>
      <c r="G177" s="31" t="s">
        <v>12</v>
      </c>
      <c r="H177" s="71">
        <f>ROUND(F179,2)</f>
        <v>1175</v>
      </c>
    </row>
    <row r="178" spans="1:9">
      <c r="A178" s="17"/>
      <c r="B178" s="27"/>
      <c r="C178" s="26"/>
      <c r="D178" s="13"/>
      <c r="E178" s="175" t="s">
        <v>190</v>
      </c>
      <c r="F178" s="179"/>
      <c r="G178" s="31"/>
      <c r="H178" s="71"/>
    </row>
    <row r="179" spans="1:9">
      <c r="A179" s="17"/>
      <c r="B179" s="27"/>
      <c r="C179" s="26"/>
      <c r="D179" s="13"/>
      <c r="E179" s="175" t="s">
        <v>187</v>
      </c>
      <c r="F179" s="179">
        <f>2*50*11.75</f>
        <v>1175</v>
      </c>
      <c r="G179" s="31"/>
      <c r="H179" s="71"/>
    </row>
    <row r="180" spans="1:9" s="144" customFormat="1" ht="25.5">
      <c r="A180" s="155"/>
      <c r="B180" s="187"/>
      <c r="C180" s="14"/>
      <c r="D180" s="30" t="s">
        <v>191</v>
      </c>
      <c r="E180" s="188" t="s">
        <v>192</v>
      </c>
      <c r="F180" s="189"/>
      <c r="G180" s="31" t="s">
        <v>12</v>
      </c>
      <c r="H180" s="71">
        <f>ROUND(F186,2)</f>
        <v>13597.29</v>
      </c>
    </row>
    <row r="181" spans="1:9">
      <c r="A181" s="17"/>
      <c r="B181" s="27"/>
      <c r="C181" s="26"/>
      <c r="D181" s="13"/>
      <c r="E181" s="175" t="s">
        <v>190</v>
      </c>
      <c r="F181" s="179"/>
      <c r="G181" s="31"/>
      <c r="H181" s="71"/>
    </row>
    <row r="182" spans="1:9">
      <c r="A182" s="17"/>
      <c r="B182" s="27"/>
      <c r="C182" s="26"/>
      <c r="D182" s="13"/>
      <c r="E182" s="175" t="s">
        <v>193</v>
      </c>
      <c r="F182" s="179">
        <f>2*14.6*11.75</f>
        <v>343.09999999999997</v>
      </c>
      <c r="G182" s="31"/>
      <c r="H182" s="71"/>
    </row>
    <row r="183" spans="1:9" ht="25.5">
      <c r="A183" s="17"/>
      <c r="B183" s="27"/>
      <c r="C183" s="26"/>
      <c r="D183" s="13"/>
      <c r="E183" s="175" t="s">
        <v>765</v>
      </c>
      <c r="F183" s="179">
        <f>(2*13.6*11.75)*2</f>
        <v>639.19999999999993</v>
      </c>
      <c r="G183" s="31"/>
      <c r="H183" s="71"/>
    </row>
    <row r="184" spans="1:9" ht="38.25">
      <c r="A184" s="17"/>
      <c r="B184" s="27"/>
      <c r="C184" s="26"/>
      <c r="D184" s="13"/>
      <c r="E184" s="175" t="s">
        <v>766</v>
      </c>
      <c r="F184" s="179">
        <f>10.75*(35.19+69.48+69.48+69.48+69.48+70.06+77.63+36.34+78.48+35.17)*2</f>
        <v>13131.984999999999</v>
      </c>
      <c r="G184" s="31"/>
      <c r="H184" s="71"/>
    </row>
    <row r="185" spans="1:9" s="105" customFormat="1" ht="25.5">
      <c r="A185" s="17"/>
      <c r="B185" s="27"/>
      <c r="C185" s="26"/>
      <c r="D185" s="13"/>
      <c r="E185" s="175" t="s">
        <v>768</v>
      </c>
      <c r="F185" s="191">
        <f xml:space="preserve"> -11.75*2*11*2</f>
        <v>-517</v>
      </c>
      <c r="G185" s="31"/>
      <c r="H185" s="71"/>
      <c r="I185" s="139"/>
    </row>
    <row r="186" spans="1:9">
      <c r="A186" s="17"/>
      <c r="B186" s="27"/>
      <c r="C186" s="26"/>
      <c r="D186" s="13"/>
      <c r="E186" s="181" t="s">
        <v>456</v>
      </c>
      <c r="F186" s="179">
        <f>SUM(F182:F185)</f>
        <v>13597.284999999998</v>
      </c>
      <c r="G186" s="31"/>
      <c r="H186" s="71"/>
    </row>
    <row r="187" spans="1:9" s="144" customFormat="1" ht="25.5">
      <c r="A187" s="145">
        <f>MAX(A$2:A184)+1</f>
        <v>30</v>
      </c>
      <c r="B187" s="73" t="s">
        <v>9</v>
      </c>
      <c r="C187" s="11" t="s">
        <v>218</v>
      </c>
      <c r="D187" s="28"/>
      <c r="E187" s="182" t="s">
        <v>219</v>
      </c>
      <c r="F187" s="183"/>
      <c r="G187" s="29" t="s">
        <v>13</v>
      </c>
      <c r="H187" s="70">
        <f>H188</f>
        <v>1497.96</v>
      </c>
    </row>
    <row r="188" spans="1:9" s="144" customFormat="1">
      <c r="A188" s="155"/>
      <c r="B188" s="187"/>
      <c r="C188" s="14"/>
      <c r="D188" s="30" t="s">
        <v>218</v>
      </c>
      <c r="E188" s="188" t="s">
        <v>219</v>
      </c>
      <c r="F188" s="189"/>
      <c r="G188" s="31" t="s">
        <v>13</v>
      </c>
      <c r="H188" s="71">
        <f>ROUND(F192,2)</f>
        <v>1497.96</v>
      </c>
    </row>
    <row r="189" spans="1:9">
      <c r="A189" s="17"/>
      <c r="B189" s="27"/>
      <c r="C189" s="26"/>
      <c r="D189" s="13"/>
      <c r="E189" s="175" t="s">
        <v>220</v>
      </c>
      <c r="F189" s="179">
        <f>2*11</f>
        <v>22</v>
      </c>
      <c r="G189" s="31"/>
      <c r="H189" s="71"/>
    </row>
    <row r="190" spans="1:9" ht="25.5">
      <c r="A190" s="17"/>
      <c r="B190" s="27"/>
      <c r="C190" s="26"/>
      <c r="D190" s="13"/>
      <c r="E190" s="175" t="s">
        <v>316</v>
      </c>
      <c r="F190" s="179">
        <f>616+3*2+615.5+3*2</f>
        <v>1243.5</v>
      </c>
      <c r="G190" s="31"/>
      <c r="H190" s="71"/>
    </row>
    <row r="191" spans="1:9" ht="25.5">
      <c r="A191" s="17"/>
      <c r="B191" s="27"/>
      <c r="C191" s="26"/>
      <c r="D191" s="13"/>
      <c r="E191" s="175" t="s">
        <v>581</v>
      </c>
      <c r="F191" s="180">
        <f>0.96*118+1.01*118</f>
        <v>232.46</v>
      </c>
      <c r="G191" s="31"/>
      <c r="H191" s="71"/>
    </row>
    <row r="192" spans="1:9">
      <c r="A192" s="17"/>
      <c r="B192" s="27"/>
      <c r="C192" s="26"/>
      <c r="D192" s="13"/>
      <c r="E192" s="181" t="s">
        <v>456</v>
      </c>
      <c r="F192" s="179">
        <f>SUM(F189:F191)</f>
        <v>1497.96</v>
      </c>
      <c r="G192" s="31"/>
      <c r="H192" s="71"/>
    </row>
    <row r="193" spans="1:10" s="144" customFormat="1" ht="25.5">
      <c r="A193" s="145">
        <f>MAX(A$2:A189)+1</f>
        <v>31</v>
      </c>
      <c r="B193" s="73" t="s">
        <v>9</v>
      </c>
      <c r="C193" s="11" t="s">
        <v>86</v>
      </c>
      <c r="D193" s="28"/>
      <c r="E193" s="182" t="s">
        <v>87</v>
      </c>
      <c r="F193" s="183"/>
      <c r="G193" s="29" t="s">
        <v>13</v>
      </c>
      <c r="H193" s="70">
        <f>H194</f>
        <v>21.5</v>
      </c>
    </row>
    <row r="194" spans="1:10" s="144" customFormat="1" ht="25.5">
      <c r="A194" s="155"/>
      <c r="B194" s="187"/>
      <c r="C194" s="14"/>
      <c r="D194" s="30" t="s">
        <v>221</v>
      </c>
      <c r="E194" s="188" t="s">
        <v>222</v>
      </c>
      <c r="F194" s="189"/>
      <c r="G194" s="31" t="s">
        <v>13</v>
      </c>
      <c r="H194" s="71">
        <f>ROUND(F195,2)</f>
        <v>21.5</v>
      </c>
    </row>
    <row r="195" spans="1:10" ht="25.5">
      <c r="A195" s="35"/>
      <c r="B195" s="27"/>
      <c r="C195" s="26"/>
      <c r="D195" s="21"/>
      <c r="E195" s="175" t="s">
        <v>223</v>
      </c>
      <c r="F195" s="16">
        <f>2*10.75</f>
        <v>21.5</v>
      </c>
      <c r="G195" s="42"/>
      <c r="H195" s="71"/>
    </row>
    <row r="196" spans="1:10" s="144" customFormat="1" ht="25.5">
      <c r="A196" s="145">
        <f>MAX(A$2:A195)+1</f>
        <v>32</v>
      </c>
      <c r="B196" s="73" t="s">
        <v>9</v>
      </c>
      <c r="C196" s="11" t="s">
        <v>224</v>
      </c>
      <c r="D196" s="28"/>
      <c r="E196" s="182" t="s">
        <v>225</v>
      </c>
      <c r="F196" s="183"/>
      <c r="G196" s="29" t="s">
        <v>13</v>
      </c>
      <c r="H196" s="70">
        <f>H197+H202</f>
        <v>1098.5</v>
      </c>
    </row>
    <row r="197" spans="1:10" s="144" customFormat="1" ht="25.5">
      <c r="A197" s="155"/>
      <c r="B197" s="187"/>
      <c r="C197" s="14"/>
      <c r="D197" s="30" t="s">
        <v>226</v>
      </c>
      <c r="E197" s="188" t="s">
        <v>227</v>
      </c>
      <c r="F197" s="189"/>
      <c r="G197" s="31" t="s">
        <v>13</v>
      </c>
      <c r="H197" s="71">
        <f>ROUND(F201,2)</f>
        <v>560</v>
      </c>
    </row>
    <row r="198" spans="1:10" ht="25.5">
      <c r="A198" s="35"/>
      <c r="B198" s="27"/>
      <c r="C198" s="26"/>
      <c r="D198" s="57"/>
      <c r="E198" s="175" t="s">
        <v>780</v>
      </c>
      <c r="F198" s="16">
        <f>11.75*2*11*2</f>
        <v>517</v>
      </c>
      <c r="G198" s="42"/>
      <c r="H198" s="71"/>
      <c r="I198" s="138"/>
    </row>
    <row r="199" spans="1:10" ht="25.5">
      <c r="A199" s="35"/>
      <c r="B199" s="27"/>
      <c r="C199" s="26"/>
      <c r="D199" s="57"/>
      <c r="E199" s="175" t="s">
        <v>230</v>
      </c>
      <c r="F199" s="16">
        <f>2*10.75</f>
        <v>21.5</v>
      </c>
      <c r="G199" s="42"/>
      <c r="H199" s="71"/>
      <c r="I199" s="138"/>
    </row>
    <row r="200" spans="1:10" ht="12.75" customHeight="1">
      <c r="A200" s="35"/>
      <c r="B200" s="27"/>
      <c r="C200" s="26"/>
      <c r="D200" s="21"/>
      <c r="E200" s="175" t="s">
        <v>231</v>
      </c>
      <c r="F200" s="64">
        <f>2*10.75</f>
        <v>21.5</v>
      </c>
      <c r="G200" s="42"/>
      <c r="H200" s="71"/>
      <c r="I200" s="138"/>
    </row>
    <row r="201" spans="1:10">
      <c r="A201" s="35"/>
      <c r="B201" s="27"/>
      <c r="C201" s="26"/>
      <c r="D201" s="30"/>
      <c r="E201" s="181" t="s">
        <v>456</v>
      </c>
      <c r="F201" s="179">
        <f>SUM(F198:F200)</f>
        <v>560</v>
      </c>
      <c r="G201" s="31"/>
      <c r="H201" s="71"/>
      <c r="I201" s="138"/>
    </row>
    <row r="202" spans="1:10" s="144" customFormat="1" ht="25.5">
      <c r="A202" s="155"/>
      <c r="B202" s="187"/>
      <c r="C202" s="14"/>
      <c r="D202" s="30" t="s">
        <v>228</v>
      </c>
      <c r="E202" s="188" t="s">
        <v>229</v>
      </c>
      <c r="F202" s="189"/>
      <c r="G202" s="31" t="s">
        <v>13</v>
      </c>
      <c r="H202" s="71">
        <f>ROUND(F205,2)</f>
        <v>538.5</v>
      </c>
    </row>
    <row r="203" spans="1:10" ht="25.5">
      <c r="A203" s="35"/>
      <c r="B203" s="27"/>
      <c r="C203" s="26"/>
      <c r="D203" s="21"/>
      <c r="E203" s="175" t="s">
        <v>767</v>
      </c>
      <c r="F203" s="179">
        <f>11.75*2*11*2</f>
        <v>517</v>
      </c>
      <c r="G203" s="41"/>
      <c r="H203" s="71"/>
      <c r="I203" s="138"/>
    </row>
    <row r="204" spans="1:10" ht="12.75" customHeight="1">
      <c r="A204" s="35"/>
      <c r="B204" s="27"/>
      <c r="C204" s="26"/>
      <c r="D204" s="21"/>
      <c r="E204" s="175" t="s">
        <v>232</v>
      </c>
      <c r="F204" s="180">
        <f>2*10.75</f>
        <v>21.5</v>
      </c>
      <c r="G204" s="41"/>
      <c r="H204" s="71"/>
    </row>
    <row r="205" spans="1:10" ht="12.75" customHeight="1">
      <c r="A205" s="35"/>
      <c r="B205" s="27"/>
      <c r="C205" s="26"/>
      <c r="D205" s="21"/>
      <c r="E205" s="181" t="s">
        <v>456</v>
      </c>
      <c r="F205" s="179">
        <f>SUM(F203:F204)</f>
        <v>538.5</v>
      </c>
      <c r="G205" s="41"/>
      <c r="H205" s="71"/>
    </row>
    <row r="206" spans="1:10" s="144" customFormat="1" ht="14.25">
      <c r="A206" s="145">
        <f>MAX(A$2:A200)+1</f>
        <v>33</v>
      </c>
      <c r="B206" s="73" t="s">
        <v>9</v>
      </c>
      <c r="C206" s="11" t="s">
        <v>243</v>
      </c>
      <c r="D206" s="28"/>
      <c r="E206" s="182" t="s">
        <v>244</v>
      </c>
      <c r="F206" s="183"/>
      <c r="G206" s="29" t="s">
        <v>13</v>
      </c>
      <c r="H206" s="70">
        <f>H207+H209+H211</f>
        <v>102.4</v>
      </c>
    </row>
    <row r="207" spans="1:10" s="144" customFormat="1">
      <c r="A207" s="155"/>
      <c r="B207" s="187"/>
      <c r="C207" s="14"/>
      <c r="D207" s="30" t="s">
        <v>245</v>
      </c>
      <c r="E207" s="188" t="s">
        <v>246</v>
      </c>
      <c r="F207" s="189"/>
      <c r="G207" s="31" t="s">
        <v>13</v>
      </c>
      <c r="H207" s="71">
        <f>ROUND(F208,2)</f>
        <v>61.2</v>
      </c>
    </row>
    <row r="208" spans="1:10" ht="12.75" customHeight="1">
      <c r="A208" s="35"/>
      <c r="B208" s="27"/>
      <c r="C208" s="26"/>
      <c r="D208" s="21"/>
      <c r="E208" s="175" t="s">
        <v>527</v>
      </c>
      <c r="F208" s="179">
        <f>306*0.2</f>
        <v>61.2</v>
      </c>
      <c r="G208" s="41"/>
      <c r="H208" s="71"/>
      <c r="J208" s="144"/>
    </row>
    <row r="209" spans="1:14" s="144" customFormat="1">
      <c r="A209" s="155"/>
      <c r="B209" s="187"/>
      <c r="C209" s="14"/>
      <c r="D209" s="30" t="s">
        <v>528</v>
      </c>
      <c r="E209" s="188" t="s">
        <v>529</v>
      </c>
      <c r="F209" s="189"/>
      <c r="G209" s="31" t="s">
        <v>13</v>
      </c>
      <c r="H209" s="71">
        <f>ROUND(F210,2)</f>
        <v>23.6</v>
      </c>
    </row>
    <row r="210" spans="1:14" ht="12.75" customHeight="1">
      <c r="A210" s="35"/>
      <c r="B210" s="27"/>
      <c r="C210" s="26"/>
      <c r="D210" s="21"/>
      <c r="E210" s="175" t="s">
        <v>530</v>
      </c>
      <c r="F210" s="179">
        <f>59*0.2*2</f>
        <v>23.6</v>
      </c>
      <c r="G210" s="41"/>
      <c r="H210" s="71"/>
    </row>
    <row r="211" spans="1:14" s="144" customFormat="1">
      <c r="A211" s="155"/>
      <c r="B211" s="187"/>
      <c r="C211" s="14"/>
      <c r="D211" s="30" t="s">
        <v>247</v>
      </c>
      <c r="E211" s="188" t="s">
        <v>248</v>
      </c>
      <c r="F211" s="189"/>
      <c r="G211" s="31" t="s">
        <v>13</v>
      </c>
      <c r="H211" s="71">
        <f>ROUND(F212,2)</f>
        <v>17.600000000000001</v>
      </c>
    </row>
    <row r="212" spans="1:14" ht="12.75" customHeight="1">
      <c r="A212" s="35"/>
      <c r="B212" s="27"/>
      <c r="C212" s="26"/>
      <c r="D212" s="21"/>
      <c r="E212" s="175" t="s">
        <v>249</v>
      </c>
      <c r="F212" s="179">
        <f>44*0.2*2</f>
        <v>17.600000000000001</v>
      </c>
      <c r="G212" s="41"/>
      <c r="H212" s="71"/>
      <c r="L212" s="157"/>
    </row>
    <row r="213" spans="1:14" s="144" customFormat="1" ht="15">
      <c r="A213" s="145">
        <f>MAX(A$2:A207)+1</f>
        <v>34</v>
      </c>
      <c r="B213" s="73" t="s">
        <v>9</v>
      </c>
      <c r="C213" s="11" t="s">
        <v>250</v>
      </c>
      <c r="D213" s="28"/>
      <c r="E213" s="182" t="s">
        <v>251</v>
      </c>
      <c r="F213" s="183"/>
      <c r="G213" s="29" t="s">
        <v>13</v>
      </c>
      <c r="H213" s="70">
        <f>H214</f>
        <v>126.4</v>
      </c>
      <c r="M213" s="158"/>
      <c r="N213" s="159"/>
    </row>
    <row r="214" spans="1:14" s="144" customFormat="1">
      <c r="A214" s="155"/>
      <c r="B214" s="187"/>
      <c r="C214" s="14"/>
      <c r="D214" s="30" t="s">
        <v>252</v>
      </c>
      <c r="E214" s="188" t="s">
        <v>253</v>
      </c>
      <c r="F214" s="189"/>
      <c r="G214" s="31" t="s">
        <v>13</v>
      </c>
      <c r="H214" s="71">
        <f>ROUND(F219,2)</f>
        <v>126.4</v>
      </c>
    </row>
    <row r="215" spans="1:14" ht="12.75" customHeight="1">
      <c r="A215" s="35"/>
      <c r="B215" s="27"/>
      <c r="C215" s="26"/>
      <c r="D215" s="21"/>
      <c r="E215" s="175" t="s">
        <v>531</v>
      </c>
      <c r="F215" s="179">
        <f>618*0.1</f>
        <v>61.800000000000004</v>
      </c>
      <c r="G215" s="41"/>
      <c r="H215" s="71"/>
      <c r="L215" s="15"/>
      <c r="M215" s="15"/>
    </row>
    <row r="216" spans="1:14" ht="12.75" customHeight="1">
      <c r="A216" s="35"/>
      <c r="B216" s="27"/>
      <c r="C216" s="26"/>
      <c r="D216" s="21"/>
      <c r="E216" s="175" t="s">
        <v>532</v>
      </c>
      <c r="F216" s="179">
        <f>23*2*0.1</f>
        <v>4.6000000000000005</v>
      </c>
      <c r="G216" s="41"/>
      <c r="H216" s="71"/>
    </row>
    <row r="217" spans="1:14" ht="12.75" customHeight="1">
      <c r="A217" s="35"/>
      <c r="B217" s="27"/>
      <c r="C217" s="26"/>
      <c r="D217" s="21"/>
      <c r="E217" s="175" t="s">
        <v>603</v>
      </c>
      <c r="F217" s="179">
        <f>4*2*0.1</f>
        <v>0.8</v>
      </c>
      <c r="G217" s="41"/>
      <c r="H217" s="71"/>
    </row>
    <row r="218" spans="1:14" ht="12.75" customHeight="1">
      <c r="A218" s="35"/>
      <c r="B218" s="27"/>
      <c r="C218" s="26"/>
      <c r="D218" s="21"/>
      <c r="E218" s="175" t="s">
        <v>254</v>
      </c>
      <c r="F218" s="180">
        <f>74*0.2*2*2</f>
        <v>59.2</v>
      </c>
      <c r="G218" s="41"/>
      <c r="H218" s="71"/>
    </row>
    <row r="219" spans="1:14" ht="12.75" customHeight="1">
      <c r="A219" s="35"/>
      <c r="B219" s="27"/>
      <c r="C219" s="26"/>
      <c r="D219" s="21"/>
      <c r="E219" s="181" t="s">
        <v>456</v>
      </c>
      <c r="F219" s="179">
        <f>SUM(F215:F218)</f>
        <v>126.4</v>
      </c>
      <c r="G219" s="41"/>
      <c r="H219" s="71"/>
      <c r="M219" s="15"/>
    </row>
    <row r="220" spans="1:14" ht="15">
      <c r="A220" s="44"/>
      <c r="B220" s="45" t="s">
        <v>39</v>
      </c>
      <c r="C220" s="63"/>
      <c r="D220" s="46"/>
      <c r="E220" s="192" t="s">
        <v>132</v>
      </c>
      <c r="F220" s="178"/>
      <c r="G220" s="47"/>
      <c r="H220" s="106"/>
    </row>
    <row r="221" spans="1:14" s="144" customFormat="1" ht="25.5">
      <c r="A221" s="145">
        <f>MAX(A$2:A220)+1</f>
        <v>35</v>
      </c>
      <c r="B221" s="73" t="s">
        <v>39</v>
      </c>
      <c r="C221" s="11" t="s">
        <v>53</v>
      </c>
      <c r="D221" s="28"/>
      <c r="E221" s="182" t="s">
        <v>54</v>
      </c>
      <c r="F221" s="183"/>
      <c r="G221" s="29" t="s">
        <v>12</v>
      </c>
      <c r="H221" s="70">
        <f>H222</f>
        <v>8220.9</v>
      </c>
    </row>
    <row r="222" spans="1:14" s="144" customFormat="1">
      <c r="A222" s="155"/>
      <c r="B222" s="187"/>
      <c r="C222" s="14"/>
      <c r="D222" s="30" t="s">
        <v>53</v>
      </c>
      <c r="E222" s="188" t="s">
        <v>54</v>
      </c>
      <c r="F222" s="189"/>
      <c r="G222" s="31" t="s">
        <v>12</v>
      </c>
      <c r="H222" s="71">
        <f>ROUND(F223,2)</f>
        <v>8220.9</v>
      </c>
    </row>
    <row r="223" spans="1:14">
      <c r="A223" s="17"/>
      <c r="B223" s="193"/>
      <c r="C223" s="26"/>
      <c r="D223" s="21"/>
      <c r="E223" s="175" t="s">
        <v>233</v>
      </c>
      <c r="F223" s="179">
        <f>613.5*13.4</f>
        <v>8220.9</v>
      </c>
      <c r="G223" s="43"/>
      <c r="H223" s="70"/>
    </row>
    <row r="224" spans="1:14" s="144" customFormat="1" ht="14.25">
      <c r="A224" s="145">
        <f>MAX(A$2:A223)+1</f>
        <v>36</v>
      </c>
      <c r="B224" s="73" t="s">
        <v>39</v>
      </c>
      <c r="C224" s="11" t="s">
        <v>88</v>
      </c>
      <c r="D224" s="28"/>
      <c r="E224" s="182" t="s">
        <v>89</v>
      </c>
      <c r="F224" s="183"/>
      <c r="G224" s="29" t="s">
        <v>12</v>
      </c>
      <c r="H224" s="70">
        <f>H225</f>
        <v>547.20000000000005</v>
      </c>
    </row>
    <row r="225" spans="1:8" s="144" customFormat="1">
      <c r="A225" s="155"/>
      <c r="B225" s="187"/>
      <c r="C225" s="14"/>
      <c r="D225" s="30" t="s">
        <v>90</v>
      </c>
      <c r="E225" s="188" t="s">
        <v>91</v>
      </c>
      <c r="F225" s="189"/>
      <c r="G225" s="31" t="s">
        <v>12</v>
      </c>
      <c r="H225" s="71">
        <f>ROUND(F226,2)</f>
        <v>547.20000000000005</v>
      </c>
    </row>
    <row r="226" spans="1:8" ht="12.75" customHeight="1">
      <c r="A226" s="17"/>
      <c r="B226" s="193"/>
      <c r="C226" s="26"/>
      <c r="D226" s="21"/>
      <c r="E226" s="175" t="s">
        <v>234</v>
      </c>
      <c r="F226" s="179">
        <f>(296+160)*1.2</f>
        <v>547.19999999999993</v>
      </c>
      <c r="G226" s="43"/>
      <c r="H226" s="70"/>
    </row>
    <row r="227" spans="1:8" ht="15">
      <c r="A227" s="44"/>
      <c r="B227" s="53" t="s">
        <v>20</v>
      </c>
      <c r="C227" s="63"/>
      <c r="D227" s="46"/>
      <c r="E227" s="192" t="s">
        <v>133</v>
      </c>
      <c r="F227" s="178"/>
      <c r="G227" s="47"/>
      <c r="H227" s="106"/>
    </row>
    <row r="228" spans="1:8" s="144" customFormat="1" ht="14.25">
      <c r="A228" s="145">
        <f>MAX(A$2:A227)+1</f>
        <v>37</v>
      </c>
      <c r="B228" s="73" t="s">
        <v>20</v>
      </c>
      <c r="C228" s="11" t="s">
        <v>134</v>
      </c>
      <c r="D228" s="28"/>
      <c r="E228" s="182" t="s">
        <v>135</v>
      </c>
      <c r="F228" s="183"/>
      <c r="G228" s="29" t="s">
        <v>10</v>
      </c>
      <c r="H228" s="70">
        <f>H229</f>
        <v>390</v>
      </c>
    </row>
    <row r="229" spans="1:8" s="144" customFormat="1">
      <c r="A229" s="155"/>
      <c r="B229" s="187"/>
      <c r="C229" s="14"/>
      <c r="D229" s="30" t="s">
        <v>136</v>
      </c>
      <c r="E229" s="188" t="s">
        <v>137</v>
      </c>
      <c r="F229" s="189"/>
      <c r="G229" s="31" t="s">
        <v>10</v>
      </c>
      <c r="H229" s="71">
        <f>ROUND(F232,2)</f>
        <v>390</v>
      </c>
    </row>
    <row r="230" spans="1:8" ht="15">
      <c r="A230" s="17"/>
      <c r="B230" s="194"/>
      <c r="C230" s="26"/>
      <c r="D230" s="57"/>
      <c r="E230" s="175" t="s">
        <v>235</v>
      </c>
      <c r="F230" s="179">
        <f>8*13*2</f>
        <v>208</v>
      </c>
      <c r="G230" s="41"/>
      <c r="H230" s="71"/>
    </row>
    <row r="231" spans="1:8" ht="12.75" customHeight="1">
      <c r="A231" s="17"/>
      <c r="B231" s="194"/>
      <c r="C231" s="26"/>
      <c r="D231" s="21"/>
      <c r="E231" s="175" t="s">
        <v>255</v>
      </c>
      <c r="F231" s="191">
        <f>2*7*13</f>
        <v>182</v>
      </c>
      <c r="G231" s="41"/>
      <c r="H231" s="71"/>
    </row>
    <row r="232" spans="1:8" ht="15">
      <c r="A232" s="17"/>
      <c r="B232" s="194"/>
      <c r="C232" s="26"/>
      <c r="D232" s="21"/>
      <c r="E232" s="181" t="s">
        <v>456</v>
      </c>
      <c r="F232" s="179">
        <f>SUM(F230:F231)</f>
        <v>390</v>
      </c>
      <c r="G232" s="41"/>
      <c r="H232" s="71"/>
    </row>
    <row r="233" spans="1:8" s="144" customFormat="1" ht="14.25">
      <c r="A233" s="145">
        <f>MAX(A$2:A232)+1</f>
        <v>38</v>
      </c>
      <c r="B233" s="73" t="s">
        <v>20</v>
      </c>
      <c r="C233" s="11" t="s">
        <v>236</v>
      </c>
      <c r="D233" s="28"/>
      <c r="E233" s="182" t="s">
        <v>237</v>
      </c>
      <c r="F233" s="183"/>
      <c r="G233" s="29" t="s">
        <v>10</v>
      </c>
      <c r="H233" s="70">
        <f>H234</f>
        <v>106.02</v>
      </c>
    </row>
    <row r="234" spans="1:8" s="144" customFormat="1">
      <c r="A234" s="155"/>
      <c r="B234" s="187"/>
      <c r="C234" s="14"/>
      <c r="D234" s="30" t="s">
        <v>238</v>
      </c>
      <c r="E234" s="188" t="s">
        <v>239</v>
      </c>
      <c r="F234" s="189"/>
      <c r="G234" s="31" t="s">
        <v>10</v>
      </c>
      <c r="H234" s="71">
        <f>ROUND(F238,2)</f>
        <v>106.02</v>
      </c>
    </row>
    <row r="235" spans="1:8" ht="15">
      <c r="A235" s="17"/>
      <c r="B235" s="194"/>
      <c r="C235" s="26"/>
      <c r="D235" s="21"/>
      <c r="E235" s="175" t="s">
        <v>240</v>
      </c>
      <c r="F235" s="179">
        <f>(16.2+13.15)*0.6*2</f>
        <v>35.22</v>
      </c>
      <c r="G235" s="41"/>
      <c r="H235" s="71"/>
    </row>
    <row r="236" spans="1:8" ht="15">
      <c r="A236" s="17"/>
      <c r="B236" s="194"/>
      <c r="C236" s="26"/>
      <c r="D236" s="21"/>
      <c r="E236" s="175" t="s">
        <v>241</v>
      </c>
      <c r="F236" s="179">
        <f>(5+1.25)*2*0.3*0.6*16</f>
        <v>36</v>
      </c>
      <c r="G236" s="41"/>
      <c r="H236" s="71"/>
    </row>
    <row r="237" spans="1:8" ht="15">
      <c r="A237" s="17"/>
      <c r="B237" s="194"/>
      <c r="C237" s="26"/>
      <c r="D237" s="21"/>
      <c r="E237" s="175" t="s">
        <v>704</v>
      </c>
      <c r="F237" s="180">
        <f>(15+25+10.5+7.5)*2*0.6*0.5</f>
        <v>34.799999999999997</v>
      </c>
      <c r="G237" s="41"/>
      <c r="H237" s="71"/>
    </row>
    <row r="238" spans="1:8" ht="15">
      <c r="A238" s="44"/>
      <c r="B238" s="53"/>
      <c r="C238" s="63"/>
      <c r="D238" s="46"/>
      <c r="E238" s="181" t="s">
        <v>456</v>
      </c>
      <c r="F238" s="179">
        <f>SUM(F235:F237)</f>
        <v>106.02</v>
      </c>
      <c r="G238" s="47"/>
      <c r="H238" s="106"/>
    </row>
    <row r="239" spans="1:8" s="144" customFormat="1" ht="14.25">
      <c r="A239" s="145">
        <f>MAX(A$2:A234)+1</f>
        <v>39</v>
      </c>
      <c r="B239" s="73" t="s">
        <v>20</v>
      </c>
      <c r="C239" s="11" t="s">
        <v>655</v>
      </c>
      <c r="D239" s="28"/>
      <c r="E239" s="182" t="s">
        <v>656</v>
      </c>
      <c r="F239" s="183"/>
      <c r="G239" s="29" t="s">
        <v>10</v>
      </c>
      <c r="H239" s="70">
        <f>H240</f>
        <v>19.8</v>
      </c>
    </row>
    <row r="240" spans="1:8" s="144" customFormat="1">
      <c r="A240" s="155"/>
      <c r="B240" s="187"/>
      <c r="C240" s="14"/>
      <c r="D240" s="30" t="s">
        <v>657</v>
      </c>
      <c r="E240" s="188" t="s">
        <v>658</v>
      </c>
      <c r="F240" s="189"/>
      <c r="G240" s="31" t="s">
        <v>10</v>
      </c>
      <c r="H240" s="71">
        <f>ROUND(F241,2)</f>
        <v>19.8</v>
      </c>
    </row>
    <row r="241" spans="1:8">
      <c r="A241" s="72"/>
      <c r="B241" s="27"/>
      <c r="C241" s="26"/>
      <c r="D241" s="13"/>
      <c r="E241" s="175" t="s">
        <v>709</v>
      </c>
      <c r="F241" s="179">
        <f>2.5*1.8*1.1*4</f>
        <v>19.8</v>
      </c>
      <c r="G241" s="31"/>
      <c r="H241" s="71"/>
    </row>
    <row r="242" spans="1:8" s="144" customFormat="1" ht="14.25">
      <c r="A242" s="145">
        <f>MAX(A$2:A240)+1</f>
        <v>40</v>
      </c>
      <c r="B242" s="73" t="s">
        <v>20</v>
      </c>
      <c r="C242" s="11" t="s">
        <v>138</v>
      </c>
      <c r="D242" s="28"/>
      <c r="E242" s="182" t="s">
        <v>139</v>
      </c>
      <c r="F242" s="183"/>
      <c r="G242" s="29" t="s">
        <v>10</v>
      </c>
      <c r="H242" s="70">
        <f>H243</f>
        <v>426</v>
      </c>
    </row>
    <row r="243" spans="1:8" s="144" customFormat="1">
      <c r="A243" s="155"/>
      <c r="B243" s="187"/>
      <c r="C243" s="14"/>
      <c r="D243" s="30" t="s">
        <v>140</v>
      </c>
      <c r="E243" s="188" t="s">
        <v>141</v>
      </c>
      <c r="F243" s="189"/>
      <c r="G243" s="31" t="s">
        <v>10</v>
      </c>
      <c r="H243" s="71">
        <f>ROUND(F248,2)</f>
        <v>426</v>
      </c>
    </row>
    <row r="244" spans="1:8" ht="15">
      <c r="A244" s="35"/>
      <c r="B244" s="52"/>
      <c r="C244" s="14"/>
      <c r="D244" s="13"/>
      <c r="E244" s="175" t="s">
        <v>242</v>
      </c>
      <c r="F244" s="179"/>
      <c r="G244" s="31"/>
      <c r="H244" s="71"/>
    </row>
    <row r="245" spans="1:8" ht="15">
      <c r="A245" s="35"/>
      <c r="B245" s="52"/>
      <c r="C245" s="14"/>
      <c r="D245" s="13"/>
      <c r="E245" s="175" t="s">
        <v>611</v>
      </c>
      <c r="F245" s="179">
        <f>8*13*2</f>
        <v>208</v>
      </c>
      <c r="G245" s="31"/>
      <c r="H245" s="71"/>
    </row>
    <row r="246" spans="1:8" ht="25.5">
      <c r="A246" s="35"/>
      <c r="B246" s="52"/>
      <c r="C246" s="14"/>
      <c r="D246" s="13"/>
      <c r="E246" s="175" t="s">
        <v>612</v>
      </c>
      <c r="F246" s="179">
        <f>2*7*13</f>
        <v>182</v>
      </c>
      <c r="G246" s="31"/>
      <c r="H246" s="71"/>
    </row>
    <row r="247" spans="1:8" ht="25.5">
      <c r="A247" s="35"/>
      <c r="B247" s="52"/>
      <c r="C247" s="14"/>
      <c r="D247" s="13"/>
      <c r="E247" s="175" t="s">
        <v>613</v>
      </c>
      <c r="F247" s="180">
        <f>(5+1.25)*2*0.3*0.6*16</f>
        <v>36</v>
      </c>
      <c r="G247" s="31"/>
      <c r="H247" s="71"/>
    </row>
    <row r="248" spans="1:8" ht="15">
      <c r="A248" s="35"/>
      <c r="B248" s="52"/>
      <c r="C248" s="14"/>
      <c r="D248" s="13"/>
      <c r="E248" s="181" t="s">
        <v>456</v>
      </c>
      <c r="F248" s="179">
        <f>SUM(F245:F247)</f>
        <v>426</v>
      </c>
      <c r="G248" s="31"/>
      <c r="H248" s="71"/>
    </row>
    <row r="249" spans="1:8" ht="15">
      <c r="A249" s="44"/>
      <c r="B249" s="53" t="s">
        <v>62</v>
      </c>
      <c r="C249" s="63"/>
      <c r="D249" s="46"/>
      <c r="E249" s="192" t="s">
        <v>142</v>
      </c>
      <c r="F249" s="178"/>
      <c r="G249" s="47"/>
      <c r="H249" s="106"/>
    </row>
    <row r="250" spans="1:8" s="144" customFormat="1" ht="14.25">
      <c r="A250" s="145">
        <f>MAX(A$2:A249)+1</f>
        <v>41</v>
      </c>
      <c r="B250" s="73" t="s">
        <v>62</v>
      </c>
      <c r="C250" s="11" t="s">
        <v>617</v>
      </c>
      <c r="D250" s="28"/>
      <c r="E250" s="182" t="s">
        <v>618</v>
      </c>
      <c r="F250" s="183"/>
      <c r="G250" s="29" t="s">
        <v>10</v>
      </c>
      <c r="H250" s="70">
        <f>H251</f>
        <v>36</v>
      </c>
    </row>
    <row r="251" spans="1:8" s="144" customFormat="1">
      <c r="A251" s="155"/>
      <c r="B251" s="187"/>
      <c r="C251" s="14"/>
      <c r="D251" s="30" t="s">
        <v>619</v>
      </c>
      <c r="E251" s="188" t="s">
        <v>620</v>
      </c>
      <c r="F251" s="189"/>
      <c r="G251" s="31" t="s">
        <v>10</v>
      </c>
      <c r="H251" s="71">
        <f>ROUND(F252,2)</f>
        <v>36</v>
      </c>
    </row>
    <row r="252" spans="1:8" ht="12.75" customHeight="1">
      <c r="A252" s="35"/>
      <c r="B252" s="27"/>
      <c r="C252" s="14"/>
      <c r="D252" s="30"/>
      <c r="E252" s="175" t="s">
        <v>621</v>
      </c>
      <c r="F252" s="179">
        <f>F247</f>
        <v>36</v>
      </c>
      <c r="G252" s="31"/>
      <c r="H252" s="70"/>
    </row>
    <row r="253" spans="1:8" s="144" customFormat="1" ht="14.25">
      <c r="A253" s="145">
        <f>MAX(A$2:A252)+1</f>
        <v>42</v>
      </c>
      <c r="B253" s="73" t="s">
        <v>62</v>
      </c>
      <c r="C253" s="11" t="s">
        <v>622</v>
      </c>
      <c r="D253" s="28"/>
      <c r="E253" s="182" t="s">
        <v>623</v>
      </c>
      <c r="F253" s="183"/>
      <c r="G253" s="29" t="s">
        <v>10</v>
      </c>
      <c r="H253" s="70">
        <f>H254</f>
        <v>72</v>
      </c>
    </row>
    <row r="254" spans="1:8" s="144" customFormat="1" ht="25.5">
      <c r="A254" s="155"/>
      <c r="B254" s="187"/>
      <c r="C254" s="14"/>
      <c r="D254" s="30" t="s">
        <v>624</v>
      </c>
      <c r="E254" s="188" t="s">
        <v>625</v>
      </c>
      <c r="F254" s="189"/>
      <c r="G254" s="31" t="s">
        <v>10</v>
      </c>
      <c r="H254" s="71">
        <f>ROUND(F255,2)</f>
        <v>72</v>
      </c>
    </row>
    <row r="255" spans="1:8" ht="12.75" customHeight="1">
      <c r="A255" s="35"/>
      <c r="B255" s="27"/>
      <c r="C255" s="14"/>
      <c r="D255" s="13"/>
      <c r="E255" s="175" t="s">
        <v>626</v>
      </c>
      <c r="F255" s="179">
        <f>F252*2</f>
        <v>72</v>
      </c>
      <c r="G255" s="31"/>
      <c r="H255" s="70"/>
    </row>
    <row r="256" spans="1:8" s="144" customFormat="1" ht="14.25">
      <c r="A256" s="145">
        <f>MAX(A$2:A255)+1</f>
        <v>43</v>
      </c>
      <c r="B256" s="73" t="s">
        <v>62</v>
      </c>
      <c r="C256" s="11" t="s">
        <v>19</v>
      </c>
      <c r="D256" s="28"/>
      <c r="E256" s="182" t="s">
        <v>68</v>
      </c>
      <c r="F256" s="183"/>
      <c r="G256" s="29" t="s">
        <v>10</v>
      </c>
      <c r="H256" s="70">
        <f>H257</f>
        <v>479.82</v>
      </c>
    </row>
    <row r="257" spans="1:8" s="144" customFormat="1" ht="25.5">
      <c r="A257" s="155"/>
      <c r="B257" s="187"/>
      <c r="C257" s="14"/>
      <c r="D257" s="30" t="s">
        <v>615</v>
      </c>
      <c r="E257" s="188" t="s">
        <v>616</v>
      </c>
      <c r="F257" s="189"/>
      <c r="G257" s="31" t="s">
        <v>10</v>
      </c>
      <c r="H257" s="71">
        <f>ROUND(F263,2)</f>
        <v>479.82</v>
      </c>
    </row>
    <row r="258" spans="1:8" ht="12.75" customHeight="1">
      <c r="A258" s="35"/>
      <c r="B258" s="27"/>
      <c r="C258" s="14"/>
      <c r="D258" s="30"/>
      <c r="E258" s="175" t="s">
        <v>586</v>
      </c>
      <c r="F258" s="179"/>
      <c r="G258" s="31"/>
      <c r="H258" s="70"/>
    </row>
    <row r="259" spans="1:8" ht="12.75" customHeight="1">
      <c r="A259" s="35"/>
      <c r="B259" s="27"/>
      <c r="C259" s="14"/>
      <c r="D259" s="30"/>
      <c r="E259" s="175" t="s">
        <v>587</v>
      </c>
      <c r="F259" s="179">
        <f>F232</f>
        <v>390</v>
      </c>
      <c r="G259" s="31"/>
      <c r="H259" s="70"/>
    </row>
    <row r="260" spans="1:8" ht="12.75" customHeight="1">
      <c r="A260" s="35"/>
      <c r="B260" s="27"/>
      <c r="C260" s="14"/>
      <c r="D260" s="30"/>
      <c r="E260" s="175" t="s">
        <v>588</v>
      </c>
      <c r="F260" s="179">
        <f>F238</f>
        <v>106.02</v>
      </c>
      <c r="G260" s="31"/>
      <c r="H260" s="70"/>
    </row>
    <row r="261" spans="1:8" ht="12.75" customHeight="1">
      <c r="A261" s="35"/>
      <c r="B261" s="27"/>
      <c r="C261" s="14"/>
      <c r="D261" s="30"/>
      <c r="E261" s="175" t="s">
        <v>659</v>
      </c>
      <c r="F261" s="179">
        <f>F241</f>
        <v>19.8</v>
      </c>
      <c r="G261" s="31"/>
      <c r="H261" s="70"/>
    </row>
    <row r="262" spans="1:8" ht="12.75" customHeight="1">
      <c r="A262" s="35"/>
      <c r="B262" s="27"/>
      <c r="C262" s="14"/>
      <c r="D262" s="30"/>
      <c r="E262" s="175" t="s">
        <v>614</v>
      </c>
      <c r="F262" s="180">
        <f>-F247</f>
        <v>-36</v>
      </c>
      <c r="G262" s="31"/>
      <c r="H262" s="70"/>
    </row>
    <row r="263" spans="1:8" ht="12.75" customHeight="1">
      <c r="A263" s="35"/>
      <c r="B263" s="27"/>
      <c r="C263" s="14"/>
      <c r="D263" s="30"/>
      <c r="E263" s="175"/>
      <c r="F263" s="179">
        <f>SUM(F259:F262)</f>
        <v>479.81999999999994</v>
      </c>
      <c r="G263" s="31"/>
      <c r="H263" s="70"/>
    </row>
    <row r="264" spans="1:8" s="144" customFormat="1" ht="12.75" customHeight="1">
      <c r="A264" s="72">
        <f>MAX(A$2:A263)+1</f>
        <v>44</v>
      </c>
      <c r="B264" s="33" t="s">
        <v>62</v>
      </c>
      <c r="C264" s="11" t="s">
        <v>143</v>
      </c>
      <c r="D264" s="28"/>
      <c r="E264" s="182" t="s">
        <v>144</v>
      </c>
      <c r="F264" s="183"/>
      <c r="G264" s="29" t="s">
        <v>10</v>
      </c>
      <c r="H264" s="70">
        <f>H265</f>
        <v>36</v>
      </c>
    </row>
    <row r="265" spans="1:8" s="144" customFormat="1" ht="25.5">
      <c r="A265" s="72"/>
      <c r="B265" s="74"/>
      <c r="C265" s="14"/>
      <c r="D265" s="30" t="s">
        <v>145</v>
      </c>
      <c r="E265" s="188" t="s">
        <v>146</v>
      </c>
      <c r="F265" s="189"/>
      <c r="G265" s="31" t="s">
        <v>10</v>
      </c>
      <c r="H265" s="71">
        <f>ROUND(F266,2)</f>
        <v>36</v>
      </c>
    </row>
    <row r="266" spans="1:8" ht="12.75" customHeight="1">
      <c r="A266" s="35"/>
      <c r="B266" s="27"/>
      <c r="C266" s="14"/>
      <c r="D266" s="30"/>
      <c r="E266" s="175" t="s">
        <v>627</v>
      </c>
      <c r="F266" s="179">
        <f>F252</f>
        <v>36</v>
      </c>
      <c r="G266" s="31"/>
      <c r="H266" s="70"/>
    </row>
    <row r="267" spans="1:8" ht="15">
      <c r="A267" s="44"/>
      <c r="B267" s="45" t="s">
        <v>58</v>
      </c>
      <c r="C267" s="63"/>
      <c r="D267" s="46"/>
      <c r="E267" s="192" t="s">
        <v>63</v>
      </c>
      <c r="F267" s="178"/>
      <c r="G267" s="47"/>
      <c r="H267" s="106"/>
    </row>
    <row r="268" spans="1:8" s="144" customFormat="1" ht="25.5">
      <c r="A268" s="72">
        <f>MAX(A$2:A267)+1</f>
        <v>45</v>
      </c>
      <c r="B268" s="33" t="s">
        <v>58</v>
      </c>
      <c r="C268" s="11" t="s">
        <v>285</v>
      </c>
      <c r="D268" s="28"/>
      <c r="E268" s="182" t="s">
        <v>286</v>
      </c>
      <c r="F268" s="183"/>
      <c r="G268" s="29" t="s">
        <v>10</v>
      </c>
      <c r="H268" s="70">
        <f>H269</f>
        <v>223.89</v>
      </c>
    </row>
    <row r="269" spans="1:8" s="144" customFormat="1" ht="25.5">
      <c r="A269" s="72"/>
      <c r="B269" s="74"/>
      <c r="C269" s="14"/>
      <c r="D269" s="30" t="s">
        <v>287</v>
      </c>
      <c r="E269" s="188" t="s">
        <v>288</v>
      </c>
      <c r="F269" s="189"/>
      <c r="G269" s="31" t="s">
        <v>10</v>
      </c>
      <c r="H269" s="71">
        <f>ROUND(F272,2)</f>
        <v>223.89</v>
      </c>
    </row>
    <row r="270" spans="1:8" ht="38.25">
      <c r="A270" s="35"/>
      <c r="B270" s="52"/>
      <c r="C270" s="14"/>
      <c r="D270" s="13"/>
      <c r="E270" s="175" t="s">
        <v>289</v>
      </c>
      <c r="F270" s="179">
        <f>0.172*(35.19+69.48+69.48+69.48+69.48+70.06+77.63+36.34+78.48+35.17+2*3)</f>
        <v>106.08787999999998</v>
      </c>
      <c r="G270" s="31"/>
      <c r="H270" s="71"/>
    </row>
    <row r="271" spans="1:8" ht="38.25">
      <c r="A271" s="35"/>
      <c r="B271" s="52"/>
      <c r="C271" s="14"/>
      <c r="D271" s="13"/>
      <c r="E271" s="175" t="s">
        <v>290</v>
      </c>
      <c r="F271" s="180">
        <f>0.191*(35.19+69.48+69.48+69.48+69.48+70.06+77.63+36.34+78.48+35.17+2*3)</f>
        <v>117.80689</v>
      </c>
      <c r="G271" s="31"/>
      <c r="H271" s="71"/>
    </row>
    <row r="272" spans="1:8" ht="15">
      <c r="A272" s="44"/>
      <c r="B272" s="45"/>
      <c r="C272" s="63"/>
      <c r="D272" s="46"/>
      <c r="E272" s="181" t="s">
        <v>456</v>
      </c>
      <c r="F272" s="179">
        <f>SUM(F270:F271)</f>
        <v>223.89476999999999</v>
      </c>
      <c r="G272" s="47"/>
      <c r="H272" s="106"/>
    </row>
    <row r="273" spans="1:8" s="144" customFormat="1" ht="25.5">
      <c r="A273" s="72">
        <f>MAX(A$2:A272)+1</f>
        <v>46</v>
      </c>
      <c r="B273" s="33" t="s">
        <v>58</v>
      </c>
      <c r="C273" s="11" t="s">
        <v>291</v>
      </c>
      <c r="D273" s="28"/>
      <c r="E273" s="182" t="s">
        <v>292</v>
      </c>
      <c r="F273" s="183"/>
      <c r="G273" s="29" t="s">
        <v>12</v>
      </c>
      <c r="H273" s="70">
        <f>H274</f>
        <v>337.08</v>
      </c>
    </row>
    <row r="274" spans="1:8" s="144" customFormat="1" ht="25.5">
      <c r="A274" s="72"/>
      <c r="B274" s="74"/>
      <c r="C274" s="14"/>
      <c r="D274" s="30" t="s">
        <v>293</v>
      </c>
      <c r="E274" s="188" t="s">
        <v>294</v>
      </c>
      <c r="F274" s="189"/>
      <c r="G274" s="31" t="s">
        <v>12</v>
      </c>
      <c r="H274" s="71">
        <f>ROUND(F277,2)</f>
        <v>337.08</v>
      </c>
    </row>
    <row r="275" spans="1:8" ht="38.25">
      <c r="A275" s="35"/>
      <c r="B275" s="52"/>
      <c r="C275" s="14"/>
      <c r="D275" s="13"/>
      <c r="E275" s="175" t="s">
        <v>295</v>
      </c>
      <c r="F275" s="179">
        <f>0.245*(35.19+69.48+69.48+69.48+69.48+70.06+77.63+36.34+78.48+35.17+2*3)+0.172*96</f>
        <v>167.62554999999998</v>
      </c>
      <c r="G275" s="31"/>
      <c r="H275" s="71"/>
    </row>
    <row r="276" spans="1:8" ht="38.25">
      <c r="A276" s="35"/>
      <c r="B276" s="52"/>
      <c r="C276" s="14"/>
      <c r="D276" s="13"/>
      <c r="E276" s="175" t="s">
        <v>296</v>
      </c>
      <c r="F276" s="180">
        <f>0.245*(35.19+69.48+69.48+69.48+69.48+70.06+77.63+36.34+78.48+35.17+2*3)+0.191*96</f>
        <v>169.44954999999999</v>
      </c>
      <c r="G276" s="31"/>
      <c r="H276" s="71"/>
    </row>
    <row r="277" spans="1:8" ht="15">
      <c r="A277" s="35"/>
      <c r="B277" s="65"/>
      <c r="C277" s="14"/>
      <c r="D277" s="13"/>
      <c r="E277" s="181" t="s">
        <v>456</v>
      </c>
      <c r="F277" s="179">
        <f>SUM(F275:F276)</f>
        <v>337.07509999999996</v>
      </c>
      <c r="G277" s="31"/>
      <c r="H277" s="71"/>
    </row>
    <row r="278" spans="1:8" s="144" customFormat="1" ht="25.5">
      <c r="A278" s="72">
        <f>MAX(A$2:A277)+1</f>
        <v>47</v>
      </c>
      <c r="B278" s="33" t="s">
        <v>58</v>
      </c>
      <c r="C278" s="11" t="s">
        <v>297</v>
      </c>
      <c r="D278" s="28"/>
      <c r="E278" s="182" t="s">
        <v>298</v>
      </c>
      <c r="F278" s="183"/>
      <c r="G278" s="29" t="s">
        <v>12</v>
      </c>
      <c r="H278" s="70">
        <f>H279</f>
        <v>277.56</v>
      </c>
    </row>
    <row r="279" spans="1:8" s="144" customFormat="1" ht="25.5">
      <c r="A279" s="72"/>
      <c r="B279" s="74"/>
      <c r="C279" s="14"/>
      <c r="D279" s="30" t="s">
        <v>309</v>
      </c>
      <c r="E279" s="188" t="s">
        <v>310</v>
      </c>
      <c r="F279" s="189"/>
      <c r="G279" s="31" t="s">
        <v>12</v>
      </c>
      <c r="H279" s="71">
        <f>ROUND(F282,2)</f>
        <v>277.56</v>
      </c>
    </row>
    <row r="280" spans="1:8" ht="38.25">
      <c r="A280" s="35"/>
      <c r="B280" s="65"/>
      <c r="C280" s="14"/>
      <c r="D280" s="30"/>
      <c r="E280" s="175" t="s">
        <v>299</v>
      </c>
      <c r="F280" s="179">
        <f>0.225*(35.19+69.48+69.48+69.48+69.48+70.06+77.63+36.34+78.48+35.17+2*3)</f>
        <v>138.77775</v>
      </c>
      <c r="G280" s="31"/>
      <c r="H280" s="71"/>
    </row>
    <row r="281" spans="1:8" ht="38.25">
      <c r="A281" s="35"/>
      <c r="B281" s="65"/>
      <c r="C281" s="14"/>
      <c r="D281" s="30"/>
      <c r="E281" s="175" t="s">
        <v>300</v>
      </c>
      <c r="F281" s="180">
        <f>0.225*(35.19+69.48+69.48+69.48+69.48+70.06+77.63+36.34+78.48+35.17+2*3)</f>
        <v>138.77775</v>
      </c>
      <c r="G281" s="31"/>
      <c r="H281" s="71"/>
    </row>
    <row r="282" spans="1:8" ht="15">
      <c r="A282" s="35"/>
      <c r="B282" s="65"/>
      <c r="C282" s="14"/>
      <c r="D282" s="30"/>
      <c r="E282" s="181" t="s">
        <v>456</v>
      </c>
      <c r="F282" s="179">
        <f>SUM(F280:F281)</f>
        <v>277.55549999999999</v>
      </c>
      <c r="G282" s="31"/>
      <c r="H282" s="71"/>
    </row>
    <row r="283" spans="1:8" s="144" customFormat="1" ht="25.5">
      <c r="A283" s="72">
        <f>MAX(A$2:A282)+1</f>
        <v>48</v>
      </c>
      <c r="B283" s="33" t="s">
        <v>58</v>
      </c>
      <c r="C283" s="11" t="s">
        <v>301</v>
      </c>
      <c r="D283" s="28"/>
      <c r="E283" s="182" t="s">
        <v>302</v>
      </c>
      <c r="F283" s="183"/>
      <c r="G283" s="29" t="s">
        <v>16</v>
      </c>
      <c r="H283" s="70">
        <f>H284</f>
        <v>39.909999999999997</v>
      </c>
    </row>
    <row r="284" spans="1:8" s="144" customFormat="1" ht="25.5">
      <c r="A284" s="72"/>
      <c r="B284" s="74"/>
      <c r="C284" s="14"/>
      <c r="D284" s="30" t="s">
        <v>303</v>
      </c>
      <c r="E284" s="188" t="s">
        <v>304</v>
      </c>
      <c r="F284" s="189"/>
      <c r="G284" s="31" t="s">
        <v>16</v>
      </c>
      <c r="H284" s="71">
        <v>39.909999999999997</v>
      </c>
    </row>
    <row r="285" spans="1:8" s="144" customFormat="1" ht="25.5">
      <c r="A285" s="72">
        <f>MAX(A$2:A284)+1</f>
        <v>49</v>
      </c>
      <c r="B285" s="33" t="s">
        <v>58</v>
      </c>
      <c r="C285" s="11" t="s">
        <v>267</v>
      </c>
      <c r="D285" s="28"/>
      <c r="E285" s="182" t="s">
        <v>268</v>
      </c>
      <c r="F285" s="183"/>
      <c r="G285" s="29" t="s">
        <v>10</v>
      </c>
      <c r="H285" s="70">
        <f>H286+H288</f>
        <v>79.36</v>
      </c>
    </row>
    <row r="286" spans="1:8" s="144" customFormat="1" ht="25.5">
      <c r="A286" s="72"/>
      <c r="B286" s="74"/>
      <c r="C286" s="14"/>
      <c r="D286" s="30" t="s">
        <v>269</v>
      </c>
      <c r="E286" s="188" t="s">
        <v>270</v>
      </c>
      <c r="F286" s="189"/>
      <c r="G286" s="31" t="s">
        <v>10</v>
      </c>
      <c r="H286" s="71">
        <f>ROUND(F287,2)</f>
        <v>24.95</v>
      </c>
    </row>
    <row r="287" spans="1:8" ht="15">
      <c r="A287" s="35"/>
      <c r="B287" s="52"/>
      <c r="C287" s="14"/>
      <c r="D287" s="13"/>
      <c r="E287" s="175" t="s">
        <v>271</v>
      </c>
      <c r="F287" s="179">
        <f>2*(11.55*7.2*0.15)</f>
        <v>24.948000000000004</v>
      </c>
      <c r="G287" s="31"/>
      <c r="H287" s="71"/>
    </row>
    <row r="288" spans="1:8" s="144" customFormat="1" ht="25.5">
      <c r="A288" s="72"/>
      <c r="B288" s="74"/>
      <c r="C288" s="14"/>
      <c r="D288" s="30" t="s">
        <v>272</v>
      </c>
      <c r="E288" s="188" t="s">
        <v>273</v>
      </c>
      <c r="F288" s="189"/>
      <c r="G288" s="31" t="s">
        <v>10</v>
      </c>
      <c r="H288" s="71">
        <f>ROUND(F289,2)</f>
        <v>54.41</v>
      </c>
    </row>
    <row r="289" spans="1:8" ht="15">
      <c r="A289" s="35"/>
      <c r="B289" s="52"/>
      <c r="C289" s="14"/>
      <c r="D289" s="13"/>
      <c r="E289" s="175" t="s">
        <v>274</v>
      </c>
      <c r="F289" s="179">
        <f>2*(11.15*7*0.32+0.2*11.15)</f>
        <v>54.411999999999999</v>
      </c>
      <c r="G289" s="31"/>
      <c r="H289" s="71"/>
    </row>
    <row r="290" spans="1:8" s="144" customFormat="1" ht="25.5">
      <c r="A290" s="72">
        <f>MAX(A$2:A289)+1</f>
        <v>50</v>
      </c>
      <c r="B290" s="33" t="s">
        <v>58</v>
      </c>
      <c r="C290" s="11" t="s">
        <v>275</v>
      </c>
      <c r="D290" s="28"/>
      <c r="E290" s="182" t="s">
        <v>276</v>
      </c>
      <c r="F290" s="183"/>
      <c r="G290" s="29" t="s">
        <v>12</v>
      </c>
      <c r="H290" s="70">
        <f>H291</f>
        <v>45.31</v>
      </c>
    </row>
    <row r="291" spans="1:8" s="144" customFormat="1" ht="25.5">
      <c r="A291" s="72"/>
      <c r="B291" s="74"/>
      <c r="C291" s="14"/>
      <c r="D291" s="30" t="s">
        <v>277</v>
      </c>
      <c r="E291" s="188" t="s">
        <v>278</v>
      </c>
      <c r="F291" s="189"/>
      <c r="G291" s="31" t="s">
        <v>12</v>
      </c>
      <c r="H291" s="71">
        <f>ROUND(F294,2)</f>
        <v>45.31</v>
      </c>
    </row>
    <row r="292" spans="1:8" ht="15">
      <c r="A292" s="35"/>
      <c r="B292" s="65"/>
      <c r="C292" s="14"/>
      <c r="D292" s="13"/>
      <c r="E292" s="175" t="s">
        <v>279</v>
      </c>
      <c r="F292" s="179">
        <f>(11.55+7.2*2)*0.15*2</f>
        <v>7.7850000000000001</v>
      </c>
      <c r="G292" s="31"/>
      <c r="H292" s="71"/>
    </row>
    <row r="293" spans="1:8" ht="12.75" customHeight="1">
      <c r="A293" s="35"/>
      <c r="B293" s="65"/>
      <c r="C293" s="14"/>
      <c r="D293" s="13"/>
      <c r="E293" s="175" t="s">
        <v>280</v>
      </c>
      <c r="F293" s="180">
        <f>(((2*0.2)+0.925*11.15)+(2*7+11.15)*0.32)*2</f>
        <v>37.523499999999999</v>
      </c>
      <c r="G293" s="31"/>
      <c r="H293" s="71"/>
    </row>
    <row r="294" spans="1:8" ht="15">
      <c r="A294" s="44"/>
      <c r="B294" s="45"/>
      <c r="C294" s="63"/>
      <c r="D294" s="32"/>
      <c r="E294" s="181" t="s">
        <v>456</v>
      </c>
      <c r="F294" s="179">
        <f>SUM(F292:F293)</f>
        <v>45.308499999999995</v>
      </c>
      <c r="G294" s="31"/>
      <c r="H294" s="106"/>
    </row>
    <row r="295" spans="1:8" s="144" customFormat="1" ht="25.5">
      <c r="A295" s="72">
        <f>MAX(A$2:A294)+1</f>
        <v>51</v>
      </c>
      <c r="B295" s="33" t="s">
        <v>58</v>
      </c>
      <c r="C295" s="11" t="s">
        <v>281</v>
      </c>
      <c r="D295" s="28"/>
      <c r="E295" s="182" t="s">
        <v>282</v>
      </c>
      <c r="F295" s="183"/>
      <c r="G295" s="29" t="s">
        <v>16</v>
      </c>
      <c r="H295" s="70">
        <f>H296</f>
        <v>4.0199999999999996</v>
      </c>
    </row>
    <row r="296" spans="1:8" s="144" customFormat="1" ht="25.5">
      <c r="A296" s="72"/>
      <c r="B296" s="74"/>
      <c r="C296" s="14"/>
      <c r="D296" s="30" t="s">
        <v>283</v>
      </c>
      <c r="E296" s="188" t="s">
        <v>284</v>
      </c>
      <c r="F296" s="189"/>
      <c r="G296" s="31" t="s">
        <v>16</v>
      </c>
      <c r="H296" s="71">
        <f>ROUND(F297,2)</f>
        <v>4.0199999999999996</v>
      </c>
    </row>
    <row r="297" spans="1:8" ht="15">
      <c r="A297" s="44"/>
      <c r="B297" s="45"/>
      <c r="C297" s="63"/>
      <c r="D297" s="30"/>
      <c r="E297" s="175" t="s">
        <v>720</v>
      </c>
      <c r="F297" s="179">
        <v>4.0199999999999996</v>
      </c>
      <c r="G297" s="31"/>
      <c r="H297" s="71"/>
    </row>
    <row r="298" spans="1:8" s="144" customFormat="1" ht="25.5">
      <c r="A298" s="72">
        <f>MAX(A$2:A296)+1</f>
        <v>52</v>
      </c>
      <c r="B298" s="33" t="s">
        <v>58</v>
      </c>
      <c r="C298" s="11" t="s">
        <v>330</v>
      </c>
      <c r="D298" s="28"/>
      <c r="E298" s="182" t="s">
        <v>331</v>
      </c>
      <c r="F298" s="183"/>
      <c r="G298" s="29" t="s">
        <v>10</v>
      </c>
      <c r="H298" s="70">
        <f>H299</f>
        <v>770.74</v>
      </c>
    </row>
    <row r="299" spans="1:8" s="144" customFormat="1" ht="25.5">
      <c r="A299" s="72"/>
      <c r="B299" s="74"/>
      <c r="C299" s="14"/>
      <c r="D299" s="30" t="s">
        <v>332</v>
      </c>
      <c r="E299" s="188" t="s">
        <v>333</v>
      </c>
      <c r="F299" s="189"/>
      <c r="G299" s="31" t="s">
        <v>10</v>
      </c>
      <c r="H299" s="71">
        <f>ROUND(F303,2)</f>
        <v>770.74</v>
      </c>
    </row>
    <row r="300" spans="1:8" ht="38.25">
      <c r="A300" s="35"/>
      <c r="B300" s="65"/>
      <c r="C300" s="14"/>
      <c r="D300" s="129"/>
      <c r="E300" s="175" t="s">
        <v>334</v>
      </c>
      <c r="F300" s="179">
        <f>1.25*(35.19+69.48+69.48+69.48+69.48+70.06+77.63+36.34+78.48+35.17)</f>
        <v>763.48749999999995</v>
      </c>
      <c r="G300" s="31"/>
      <c r="H300" s="71"/>
    </row>
    <row r="301" spans="1:8" ht="15">
      <c r="A301" s="35"/>
      <c r="B301" s="65"/>
      <c r="C301" s="14"/>
      <c r="D301" s="129"/>
      <c r="E301" s="175" t="s">
        <v>734</v>
      </c>
      <c r="F301" s="179"/>
      <c r="G301" s="31"/>
      <c r="H301" s="71"/>
    </row>
    <row r="302" spans="1:8" ht="15">
      <c r="A302" s="35"/>
      <c r="B302" s="65"/>
      <c r="C302" s="14"/>
      <c r="D302" s="129"/>
      <c r="E302" s="175" t="s">
        <v>735</v>
      </c>
      <c r="F302" s="180">
        <f>0.153*1.33*22+2*0.14*0.15*3*22</f>
        <v>7.24878</v>
      </c>
      <c r="G302" s="31"/>
      <c r="H302" s="71"/>
    </row>
    <row r="303" spans="1:8" ht="15">
      <c r="A303" s="35"/>
      <c r="B303" s="65"/>
      <c r="C303" s="14"/>
      <c r="D303" s="129"/>
      <c r="E303" s="181" t="s">
        <v>456</v>
      </c>
      <c r="F303" s="179">
        <f>SUM(F300:F302)</f>
        <v>770.73627999999997</v>
      </c>
      <c r="G303" s="31"/>
      <c r="H303" s="71"/>
    </row>
    <row r="304" spans="1:8" s="144" customFormat="1" ht="25.5">
      <c r="A304" s="72">
        <f>MAX(A$2:A300)+1</f>
        <v>53</v>
      </c>
      <c r="B304" s="33" t="s">
        <v>58</v>
      </c>
      <c r="C304" s="11" t="s">
        <v>335</v>
      </c>
      <c r="D304" s="28"/>
      <c r="E304" s="182" t="s">
        <v>336</v>
      </c>
      <c r="F304" s="183"/>
      <c r="G304" s="29" t="s">
        <v>12</v>
      </c>
      <c r="H304" s="70">
        <f>H305</f>
        <v>158.81</v>
      </c>
    </row>
    <row r="305" spans="1:8" s="144" customFormat="1" ht="25.5">
      <c r="A305" s="72"/>
      <c r="B305" s="74"/>
      <c r="C305" s="14"/>
      <c r="D305" s="30" t="s">
        <v>337</v>
      </c>
      <c r="E305" s="188" t="s">
        <v>338</v>
      </c>
      <c r="F305" s="189"/>
      <c r="G305" s="31" t="s">
        <v>12</v>
      </c>
      <c r="H305" s="71">
        <f>ROUND(F306,2)</f>
        <v>158.81</v>
      </c>
    </row>
    <row r="306" spans="1:8" ht="38.25">
      <c r="A306" s="35"/>
      <c r="B306" s="65"/>
      <c r="C306" s="14"/>
      <c r="D306" s="13"/>
      <c r="E306" s="175" t="s">
        <v>339</v>
      </c>
      <c r="F306" s="179">
        <f>(0.15+0.11)*(35.19+69.48+69.48+69.48+69.48+70.06+77.63+36.34+78.48+35.17)</f>
        <v>158.80539999999999</v>
      </c>
      <c r="G306" s="31"/>
      <c r="H306" s="71"/>
    </row>
    <row r="307" spans="1:8" s="144" customFormat="1" ht="25.5">
      <c r="A307" s="72">
        <f>MAX(A$2:A306)+1</f>
        <v>54</v>
      </c>
      <c r="B307" s="33" t="s">
        <v>58</v>
      </c>
      <c r="C307" s="11" t="s">
        <v>340</v>
      </c>
      <c r="D307" s="28"/>
      <c r="E307" s="182" t="s">
        <v>341</v>
      </c>
      <c r="F307" s="183"/>
      <c r="G307" s="29" t="s">
        <v>16</v>
      </c>
      <c r="H307" s="70">
        <f>H308</f>
        <v>51.42</v>
      </c>
    </row>
    <row r="308" spans="1:8" s="144" customFormat="1" ht="25.5">
      <c r="A308" s="72"/>
      <c r="B308" s="74"/>
      <c r="C308" s="14"/>
      <c r="D308" s="30" t="s">
        <v>689</v>
      </c>
      <c r="E308" s="188" t="s">
        <v>690</v>
      </c>
      <c r="F308" s="189"/>
      <c r="G308" s="31" t="s">
        <v>16</v>
      </c>
      <c r="H308" s="71">
        <f>ROUND(F311,2)</f>
        <v>51.42</v>
      </c>
    </row>
    <row r="309" spans="1:8" ht="15">
      <c r="A309" s="44"/>
      <c r="B309" s="45"/>
      <c r="C309" s="63"/>
      <c r="D309" s="30"/>
      <c r="E309" s="175" t="s">
        <v>779</v>
      </c>
      <c r="F309" s="179">
        <v>50.92</v>
      </c>
      <c r="G309" s="31"/>
      <c r="H309" s="71"/>
    </row>
    <row r="310" spans="1:8" ht="15">
      <c r="A310" s="44"/>
      <c r="B310" s="45"/>
      <c r="C310" s="63"/>
      <c r="D310" s="30"/>
      <c r="E310" s="175" t="s">
        <v>736</v>
      </c>
      <c r="F310" s="180">
        <f>0.05*10</f>
        <v>0.5</v>
      </c>
      <c r="G310" s="31"/>
      <c r="H310" s="71"/>
    </row>
    <row r="311" spans="1:8" ht="15">
      <c r="A311" s="44"/>
      <c r="B311" s="45"/>
      <c r="C311" s="63"/>
      <c r="D311" s="30"/>
      <c r="E311" s="181" t="s">
        <v>456</v>
      </c>
      <c r="F311" s="179">
        <f>SUM(F309:F310)</f>
        <v>51.42</v>
      </c>
      <c r="G311" s="31"/>
      <c r="H311" s="71"/>
    </row>
    <row r="312" spans="1:8" s="144" customFormat="1" ht="14.25">
      <c r="A312" s="72">
        <f>MAX(A$2:A308)+1</f>
        <v>55</v>
      </c>
      <c r="B312" s="33" t="s">
        <v>58</v>
      </c>
      <c r="C312" s="11" t="s">
        <v>305</v>
      </c>
      <c r="D312" s="28"/>
      <c r="E312" s="182" t="s">
        <v>306</v>
      </c>
      <c r="F312" s="183"/>
      <c r="G312" s="29" t="s">
        <v>10</v>
      </c>
      <c r="H312" s="70">
        <f>H313</f>
        <v>19.82</v>
      </c>
    </row>
    <row r="313" spans="1:8" s="144" customFormat="1">
      <c r="A313" s="72"/>
      <c r="B313" s="74"/>
      <c r="C313" s="14"/>
      <c r="D313" s="30" t="s">
        <v>305</v>
      </c>
      <c r="E313" s="188" t="s">
        <v>306</v>
      </c>
      <c r="F313" s="189"/>
      <c r="G313" s="31" t="s">
        <v>10</v>
      </c>
      <c r="H313" s="71">
        <f>ROUND(F315,2)</f>
        <v>19.82</v>
      </c>
    </row>
    <row r="314" spans="1:8" ht="25.5">
      <c r="A314" s="35"/>
      <c r="B314" s="65"/>
      <c r="C314" s="14"/>
      <c r="D314" s="13"/>
      <c r="E314" s="175" t="s">
        <v>307</v>
      </c>
      <c r="F314" s="179"/>
      <c r="G314" s="31"/>
      <c r="H314" s="71"/>
    </row>
    <row r="315" spans="1:8" ht="15">
      <c r="A315" s="35"/>
      <c r="B315" s="65"/>
      <c r="C315" s="14"/>
      <c r="D315" s="13"/>
      <c r="E315" s="175" t="s">
        <v>308</v>
      </c>
      <c r="F315" s="179">
        <f>0.04*1*0.4*1239</f>
        <v>19.824000000000002</v>
      </c>
      <c r="G315" s="31"/>
      <c r="H315" s="71"/>
    </row>
    <row r="316" spans="1:8" s="144" customFormat="1" ht="25.5">
      <c r="A316" s="72">
        <f>MAX(A$2:A315)+1</f>
        <v>56</v>
      </c>
      <c r="B316" s="33" t="s">
        <v>58</v>
      </c>
      <c r="C316" s="11" t="s">
        <v>342</v>
      </c>
      <c r="D316" s="28"/>
      <c r="E316" s="182" t="s">
        <v>343</v>
      </c>
      <c r="F316" s="183"/>
      <c r="G316" s="29" t="s">
        <v>13</v>
      </c>
      <c r="H316" s="70">
        <f>H317</f>
        <v>1246</v>
      </c>
    </row>
    <row r="317" spans="1:8" s="144" customFormat="1" ht="25.5">
      <c r="A317" s="72"/>
      <c r="B317" s="74"/>
      <c r="C317" s="14"/>
      <c r="D317" s="30" t="s">
        <v>342</v>
      </c>
      <c r="E317" s="188" t="s">
        <v>343</v>
      </c>
      <c r="F317" s="189"/>
      <c r="G317" s="31" t="s">
        <v>13</v>
      </c>
      <c r="H317" s="71">
        <f>ROUND(F321,2)</f>
        <v>1246</v>
      </c>
    </row>
    <row r="318" spans="1:8" ht="25.5">
      <c r="A318" s="35"/>
      <c r="B318" s="65"/>
      <c r="C318" s="14"/>
      <c r="D318" s="130"/>
      <c r="E318" s="175" t="s">
        <v>721</v>
      </c>
      <c r="F318" s="179"/>
      <c r="G318" s="31"/>
      <c r="H318" s="71"/>
    </row>
    <row r="319" spans="1:8" ht="15">
      <c r="A319" s="35"/>
      <c r="B319" s="65"/>
      <c r="C319" s="14"/>
      <c r="D319" s="13"/>
      <c r="E319" s="175" t="s">
        <v>161</v>
      </c>
      <c r="F319" s="179">
        <v>623</v>
      </c>
      <c r="G319" s="31"/>
      <c r="H319" s="71"/>
    </row>
    <row r="320" spans="1:8" ht="15">
      <c r="A320" s="35"/>
      <c r="B320" s="65"/>
      <c r="C320" s="14"/>
      <c r="D320" s="13"/>
      <c r="E320" s="175" t="s">
        <v>163</v>
      </c>
      <c r="F320" s="180">
        <v>623</v>
      </c>
      <c r="G320" s="31"/>
      <c r="H320" s="71"/>
    </row>
    <row r="321" spans="1:11" ht="15">
      <c r="A321" s="44"/>
      <c r="B321" s="45"/>
      <c r="C321" s="63"/>
      <c r="D321" s="32"/>
      <c r="E321" s="181" t="s">
        <v>456</v>
      </c>
      <c r="F321" s="179">
        <f>SUM(F319:F320)</f>
        <v>1246</v>
      </c>
      <c r="G321" s="31"/>
      <c r="H321" s="106"/>
    </row>
    <row r="322" spans="1:11" ht="15">
      <c r="A322" s="44"/>
      <c r="B322" s="45"/>
      <c r="C322" s="63"/>
      <c r="D322" s="32"/>
      <c r="E322" s="175" t="s">
        <v>722</v>
      </c>
      <c r="F322" s="179"/>
      <c r="G322" s="31"/>
      <c r="H322" s="106"/>
    </row>
    <row r="323" spans="1:11" s="144" customFormat="1" ht="25.5">
      <c r="A323" s="72">
        <f>MAX(A$2:A321)+1</f>
        <v>57</v>
      </c>
      <c r="B323" s="33" t="s">
        <v>58</v>
      </c>
      <c r="C323" s="11" t="s">
        <v>356</v>
      </c>
      <c r="D323" s="28"/>
      <c r="E323" s="182" t="s">
        <v>357</v>
      </c>
      <c r="F323" s="183"/>
      <c r="G323" s="29" t="s">
        <v>11</v>
      </c>
      <c r="H323" s="70">
        <f>H324</f>
        <v>44</v>
      </c>
    </row>
    <row r="324" spans="1:11" s="144" customFormat="1">
      <c r="A324" s="72"/>
      <c r="B324" s="74"/>
      <c r="C324" s="14"/>
      <c r="D324" s="30" t="s">
        <v>356</v>
      </c>
      <c r="E324" s="188" t="s">
        <v>357</v>
      </c>
      <c r="F324" s="189"/>
      <c r="G324" s="31" t="s">
        <v>11</v>
      </c>
      <c r="H324" s="71">
        <f>F325</f>
        <v>44</v>
      </c>
    </row>
    <row r="325" spans="1:11" ht="15">
      <c r="A325" s="44"/>
      <c r="B325" s="45"/>
      <c r="C325" s="63"/>
      <c r="D325" s="32"/>
      <c r="E325" s="175" t="s">
        <v>358</v>
      </c>
      <c r="F325" s="179">
        <v>44</v>
      </c>
      <c r="G325" s="31"/>
      <c r="H325" s="106"/>
    </row>
    <row r="326" spans="1:11" s="144" customFormat="1" ht="25.5">
      <c r="A326" s="72">
        <f>MAX(A$2:A325)+1</f>
        <v>58</v>
      </c>
      <c r="B326" s="33" t="s">
        <v>58</v>
      </c>
      <c r="C326" s="11" t="s">
        <v>359</v>
      </c>
      <c r="D326" s="28"/>
      <c r="E326" s="182" t="s">
        <v>360</v>
      </c>
      <c r="F326" s="183"/>
      <c r="G326" s="29" t="s">
        <v>13</v>
      </c>
      <c r="H326" s="70">
        <f>H327</f>
        <v>219.25</v>
      </c>
    </row>
    <row r="327" spans="1:11" s="144" customFormat="1" ht="25.5">
      <c r="A327" s="72"/>
      <c r="B327" s="74"/>
      <c r="C327" s="14"/>
      <c r="D327" s="30" t="s">
        <v>359</v>
      </c>
      <c r="E327" s="188" t="s">
        <v>360</v>
      </c>
      <c r="F327" s="189"/>
      <c r="G327" s="31" t="s">
        <v>13</v>
      </c>
      <c r="H327" s="71">
        <f>ROUND(F330,2)</f>
        <v>219.25</v>
      </c>
    </row>
    <row r="328" spans="1:11" ht="25.5">
      <c r="A328" s="44"/>
      <c r="B328" s="45"/>
      <c r="C328" s="26"/>
      <c r="D328" s="128"/>
      <c r="E328" s="175" t="s">
        <v>778</v>
      </c>
      <c r="F328" s="179">
        <f>2.15*59</f>
        <v>126.85</v>
      </c>
      <c r="G328" s="26"/>
      <c r="H328" s="106"/>
    </row>
    <row r="329" spans="1:11" ht="25.5">
      <c r="A329" s="44"/>
      <c r="B329" s="45"/>
      <c r="C329" s="26"/>
      <c r="D329" s="128"/>
      <c r="E329" s="175" t="s">
        <v>723</v>
      </c>
      <c r="F329" s="180">
        <f>2.1*44</f>
        <v>92.4</v>
      </c>
      <c r="G329" s="26"/>
      <c r="H329" s="106"/>
      <c r="K329" s="157"/>
    </row>
    <row r="330" spans="1:11" ht="15">
      <c r="A330" s="44"/>
      <c r="B330" s="45"/>
      <c r="C330" s="26"/>
      <c r="D330" s="128"/>
      <c r="E330" s="181" t="s">
        <v>456</v>
      </c>
      <c r="F330" s="179">
        <f>SUM(F328:F329)</f>
        <v>219.25</v>
      </c>
      <c r="G330" s="26"/>
      <c r="H330" s="106"/>
      <c r="K330" s="160"/>
    </row>
    <row r="331" spans="1:11" s="144" customFormat="1" ht="25.5">
      <c r="A331" s="72">
        <f>MAX(A$2:A329)+1</f>
        <v>59</v>
      </c>
      <c r="B331" s="33" t="s">
        <v>58</v>
      </c>
      <c r="C331" s="11" t="s">
        <v>361</v>
      </c>
      <c r="D331" s="28"/>
      <c r="E331" s="182" t="s">
        <v>362</v>
      </c>
      <c r="F331" s="183"/>
      <c r="G331" s="29" t="s">
        <v>12</v>
      </c>
      <c r="H331" s="70">
        <f>H332</f>
        <v>260.26</v>
      </c>
    </row>
    <row r="332" spans="1:11" s="144" customFormat="1" ht="25.5">
      <c r="A332" s="72"/>
      <c r="B332" s="74"/>
      <c r="C332" s="14"/>
      <c r="D332" s="30" t="s">
        <v>363</v>
      </c>
      <c r="E332" s="188" t="s">
        <v>364</v>
      </c>
      <c r="F332" s="189"/>
      <c r="G332" s="31" t="s">
        <v>12</v>
      </c>
      <c r="H332" s="71">
        <f>ROUND(F339,2)</f>
        <v>260.26</v>
      </c>
    </row>
    <row r="333" spans="1:11" ht="15">
      <c r="A333" s="44"/>
      <c r="B333" s="45"/>
      <c r="C333" s="26"/>
      <c r="D333" s="20"/>
      <c r="E333" s="175" t="s">
        <v>511</v>
      </c>
      <c r="F333" s="179"/>
      <c r="G333" s="26"/>
      <c r="H333" s="106"/>
    </row>
    <row r="334" spans="1:11" ht="15">
      <c r="A334" s="44"/>
      <c r="B334" s="45"/>
      <c r="C334" s="26"/>
      <c r="D334" s="20"/>
      <c r="E334" s="175" t="s">
        <v>578</v>
      </c>
      <c r="F334" s="179">
        <f>0.96*118</f>
        <v>113.28</v>
      </c>
      <c r="G334" s="26"/>
      <c r="H334" s="106"/>
    </row>
    <row r="335" spans="1:11" ht="15">
      <c r="A335" s="44"/>
      <c r="B335" s="45"/>
      <c r="C335" s="26"/>
      <c r="D335" s="20"/>
      <c r="E335" s="175" t="s">
        <v>579</v>
      </c>
      <c r="F335" s="180">
        <f>1.01*118</f>
        <v>119.18</v>
      </c>
      <c r="G335" s="26"/>
      <c r="H335" s="106"/>
    </row>
    <row r="336" spans="1:11" ht="15">
      <c r="A336" s="44"/>
      <c r="B336" s="45"/>
      <c r="C336" s="26"/>
      <c r="D336" s="20"/>
      <c r="E336" s="181" t="s">
        <v>216</v>
      </c>
      <c r="F336" s="179">
        <f>SUM(F334:F335)</f>
        <v>232.46</v>
      </c>
      <c r="G336" s="26"/>
      <c r="H336" s="106"/>
    </row>
    <row r="337" spans="1:8" ht="15">
      <c r="A337" s="44"/>
      <c r="B337" s="45"/>
      <c r="C337" s="26"/>
      <c r="D337" s="20"/>
      <c r="E337" s="175" t="s">
        <v>737</v>
      </c>
      <c r="F337" s="179"/>
      <c r="G337" s="26"/>
      <c r="H337" s="106"/>
    </row>
    <row r="338" spans="1:8" ht="15">
      <c r="A338" s="44"/>
      <c r="B338" s="45"/>
      <c r="C338" s="26"/>
      <c r="D338" s="20"/>
      <c r="E338" s="175" t="s">
        <v>761</v>
      </c>
      <c r="F338" s="179">
        <f>0.95*1.33*22</f>
        <v>27.797000000000001</v>
      </c>
      <c r="G338" s="26"/>
      <c r="H338" s="106"/>
    </row>
    <row r="339" spans="1:8" ht="15">
      <c r="A339" s="44"/>
      <c r="B339" s="45"/>
      <c r="C339" s="26"/>
      <c r="D339" s="20"/>
      <c r="E339" s="181" t="s">
        <v>456</v>
      </c>
      <c r="F339" s="179">
        <f>F336+F338</f>
        <v>260.25700000000001</v>
      </c>
      <c r="G339" s="26"/>
      <c r="H339" s="106"/>
    </row>
    <row r="340" spans="1:8" s="144" customFormat="1" ht="25.5">
      <c r="A340" s="72">
        <f>MAX(A$2:A336)+1</f>
        <v>60</v>
      </c>
      <c r="B340" s="33" t="s">
        <v>58</v>
      </c>
      <c r="C340" s="11" t="s">
        <v>126</v>
      </c>
      <c r="D340" s="28"/>
      <c r="E340" s="182" t="s">
        <v>127</v>
      </c>
      <c r="F340" s="183"/>
      <c r="G340" s="29" t="s">
        <v>13</v>
      </c>
      <c r="H340" s="70">
        <f>H341+H351</f>
        <v>1499.41</v>
      </c>
    </row>
    <row r="341" spans="1:8" s="144" customFormat="1" ht="25.5">
      <c r="A341" s="72"/>
      <c r="B341" s="74"/>
      <c r="C341" s="14"/>
      <c r="D341" s="30" t="s">
        <v>128</v>
      </c>
      <c r="E341" s="188" t="s">
        <v>129</v>
      </c>
      <c r="F341" s="189"/>
      <c r="G341" s="31" t="s">
        <v>13</v>
      </c>
      <c r="H341" s="71">
        <f>ROUND(F350,2)</f>
        <v>1479.5</v>
      </c>
    </row>
    <row r="342" spans="1:8">
      <c r="A342" s="17"/>
      <c r="B342" s="27"/>
      <c r="C342" s="14"/>
      <c r="D342" s="13"/>
      <c r="E342" s="175" t="s">
        <v>509</v>
      </c>
      <c r="F342" s="179"/>
      <c r="G342" s="31"/>
      <c r="H342" s="70"/>
    </row>
    <row r="343" spans="1:8">
      <c r="A343" s="35"/>
      <c r="B343" s="27"/>
      <c r="C343" s="14"/>
      <c r="D343" s="13"/>
      <c r="E343" s="175" t="s">
        <v>507</v>
      </c>
      <c r="F343" s="179">
        <f xml:space="preserve"> 616+3*2</f>
        <v>622</v>
      </c>
      <c r="G343" s="31"/>
      <c r="H343" s="70"/>
    </row>
    <row r="344" spans="1:8">
      <c r="A344" s="35"/>
      <c r="B344" s="27"/>
      <c r="C344" s="14"/>
      <c r="D344" s="13"/>
      <c r="E344" s="175" t="s">
        <v>508</v>
      </c>
      <c r="F344" s="180">
        <f>615.5+3*2</f>
        <v>621.5</v>
      </c>
      <c r="G344" s="31"/>
      <c r="H344" s="70"/>
    </row>
    <row r="345" spans="1:8">
      <c r="A345" s="35"/>
      <c r="B345" s="27"/>
      <c r="C345" s="14"/>
      <c r="D345" s="13"/>
      <c r="E345" s="181" t="s">
        <v>216</v>
      </c>
      <c r="F345" s="179">
        <f>SUM(F343:F344)</f>
        <v>1243.5</v>
      </c>
      <c r="G345" s="31"/>
      <c r="H345" s="70"/>
    </row>
    <row r="346" spans="1:8">
      <c r="A346" s="17"/>
      <c r="B346" s="27"/>
      <c r="C346" s="14"/>
      <c r="D346" s="13"/>
      <c r="E346" s="175" t="s">
        <v>510</v>
      </c>
      <c r="F346" s="179"/>
      <c r="G346" s="31"/>
      <c r="H346" s="70"/>
    </row>
    <row r="347" spans="1:8">
      <c r="A347" s="17"/>
      <c r="B347" s="27"/>
      <c r="C347" s="14"/>
      <c r="D347" s="13"/>
      <c r="E347" s="175" t="s">
        <v>578</v>
      </c>
      <c r="F347" s="179">
        <f>0.96*118</f>
        <v>113.28</v>
      </c>
      <c r="G347" s="31"/>
      <c r="H347" s="70"/>
    </row>
    <row r="348" spans="1:8">
      <c r="A348" s="17"/>
      <c r="B348" s="27"/>
      <c r="C348" s="14"/>
      <c r="D348" s="13"/>
      <c r="E348" s="175" t="s">
        <v>580</v>
      </c>
      <c r="F348" s="180">
        <f>1.04*118</f>
        <v>122.72</v>
      </c>
      <c r="G348" s="31"/>
      <c r="H348" s="70"/>
    </row>
    <row r="349" spans="1:8">
      <c r="A349" s="35"/>
      <c r="B349" s="27"/>
      <c r="C349" s="14"/>
      <c r="D349" s="13"/>
      <c r="E349" s="181" t="s">
        <v>216</v>
      </c>
      <c r="F349" s="179">
        <f>SUM(F347:F348)</f>
        <v>236</v>
      </c>
      <c r="G349" s="31"/>
      <c r="H349" s="70"/>
    </row>
    <row r="350" spans="1:8">
      <c r="A350" s="35"/>
      <c r="B350" s="27"/>
      <c r="C350" s="14"/>
      <c r="D350" s="13"/>
      <c r="E350" s="181" t="s">
        <v>456</v>
      </c>
      <c r="F350" s="179">
        <f>F345+F349</f>
        <v>1479.5</v>
      </c>
      <c r="G350" s="31"/>
      <c r="H350" s="70"/>
    </row>
    <row r="351" spans="1:8" s="144" customFormat="1" ht="25.5">
      <c r="A351" s="72"/>
      <c r="B351" s="74"/>
      <c r="C351" s="14"/>
      <c r="D351" s="30" t="s">
        <v>584</v>
      </c>
      <c r="E351" s="188" t="s">
        <v>585</v>
      </c>
      <c r="F351" s="189"/>
      <c r="G351" s="31" t="s">
        <v>13</v>
      </c>
      <c r="H351" s="71">
        <f>ROUND(F352,2)</f>
        <v>19.91</v>
      </c>
    </row>
    <row r="352" spans="1:8">
      <c r="A352" s="17"/>
      <c r="B352" s="27"/>
      <c r="C352" s="14"/>
      <c r="D352" s="13"/>
      <c r="E352" s="175" t="s">
        <v>600</v>
      </c>
      <c r="F352" s="179">
        <f>(0.88+0.93)*11</f>
        <v>19.91</v>
      </c>
      <c r="G352" s="31"/>
      <c r="H352" s="70"/>
    </row>
    <row r="353" spans="1:16" s="144" customFormat="1" ht="25.5">
      <c r="A353" s="72">
        <f>MAX(A$2:A349)+1</f>
        <v>61</v>
      </c>
      <c r="B353" s="156" t="s">
        <v>58</v>
      </c>
      <c r="C353" s="11" t="s">
        <v>365</v>
      </c>
      <c r="D353" s="28"/>
      <c r="E353" s="182" t="s">
        <v>366</v>
      </c>
      <c r="F353" s="183"/>
      <c r="G353" s="29" t="s">
        <v>12</v>
      </c>
      <c r="H353" s="70">
        <f>H356+H358</f>
        <v>56.92</v>
      </c>
    </row>
    <row r="354" spans="1:16" s="144" customFormat="1" ht="25.5">
      <c r="A354" s="72"/>
      <c r="B354" s="156"/>
      <c r="C354" s="11"/>
      <c r="D354" s="30" t="s">
        <v>628</v>
      </c>
      <c r="E354" s="188" t="s">
        <v>629</v>
      </c>
      <c r="F354" s="189"/>
      <c r="G354" s="31" t="s">
        <v>12</v>
      </c>
      <c r="H354" s="71">
        <f>ROUND(F355,2)</f>
        <v>23</v>
      </c>
    </row>
    <row r="355" spans="1:16">
      <c r="A355" s="17"/>
      <c r="B355" s="27"/>
      <c r="C355" s="14"/>
      <c r="D355" s="13"/>
      <c r="E355" s="175" t="s">
        <v>630</v>
      </c>
      <c r="F355" s="179">
        <v>23</v>
      </c>
      <c r="G355" s="31"/>
      <c r="H355" s="70"/>
    </row>
    <row r="356" spans="1:16" s="144" customFormat="1" ht="25.5">
      <c r="A356" s="72"/>
      <c r="B356" s="156"/>
      <c r="C356" s="11"/>
      <c r="D356" s="30" t="s">
        <v>367</v>
      </c>
      <c r="E356" s="188" t="s">
        <v>368</v>
      </c>
      <c r="F356" s="189"/>
      <c r="G356" s="31" t="s">
        <v>12</v>
      </c>
      <c r="H356" s="71">
        <f>ROUND(F357,2)</f>
        <v>23</v>
      </c>
    </row>
    <row r="357" spans="1:16" ht="15">
      <c r="A357" s="44"/>
      <c r="B357" s="45"/>
      <c r="C357" s="63"/>
      <c r="D357" s="59"/>
      <c r="E357" s="175" t="s">
        <v>631</v>
      </c>
      <c r="F357" s="179">
        <v>23</v>
      </c>
      <c r="G357" s="47"/>
      <c r="H357" s="106"/>
    </row>
    <row r="358" spans="1:16" s="144" customFormat="1" ht="25.5">
      <c r="A358" s="72"/>
      <c r="B358" s="156"/>
      <c r="C358" s="11"/>
      <c r="D358" s="30" t="s">
        <v>369</v>
      </c>
      <c r="E358" s="188" t="s">
        <v>370</v>
      </c>
      <c r="F358" s="189"/>
      <c r="G358" s="31" t="s">
        <v>12</v>
      </c>
      <c r="H358" s="71">
        <f>ROUND(F362,2)</f>
        <v>33.92</v>
      </c>
    </row>
    <row r="359" spans="1:16">
      <c r="A359" s="35"/>
      <c r="B359" s="27"/>
      <c r="C359" s="63"/>
      <c r="D359" s="13"/>
      <c r="E359" s="175" t="s">
        <v>371</v>
      </c>
      <c r="F359" s="179"/>
      <c r="G359" s="31"/>
      <c r="H359" s="70"/>
      <c r="P359" s="160"/>
    </row>
    <row r="360" spans="1:16">
      <c r="A360" s="35"/>
      <c r="B360" s="27"/>
      <c r="C360" s="63"/>
      <c r="D360" s="13"/>
      <c r="E360" s="175" t="s">
        <v>372</v>
      </c>
      <c r="F360" s="179">
        <f>24*1.13</f>
        <v>27.119999999999997</v>
      </c>
      <c r="G360" s="31"/>
      <c r="H360" s="70"/>
    </row>
    <row r="361" spans="1:16">
      <c r="A361" s="35"/>
      <c r="B361" s="27"/>
      <c r="C361" s="63"/>
      <c r="D361" s="13"/>
      <c r="E361" s="175" t="s">
        <v>373</v>
      </c>
      <c r="F361" s="180">
        <f>2*3.4</f>
        <v>6.8</v>
      </c>
      <c r="G361" s="31"/>
      <c r="H361" s="70"/>
    </row>
    <row r="362" spans="1:16" ht="18.75" customHeight="1">
      <c r="A362" s="35"/>
      <c r="B362" s="27"/>
      <c r="C362" s="63"/>
      <c r="D362" s="13"/>
      <c r="E362" s="181" t="s">
        <v>456</v>
      </c>
      <c r="F362" s="179">
        <f>SUM(F360:F361)</f>
        <v>33.919999999999995</v>
      </c>
      <c r="G362" s="31"/>
      <c r="H362" s="70"/>
    </row>
    <row r="363" spans="1:16" s="144" customFormat="1" ht="14.25">
      <c r="A363" s="72">
        <f>MAX(A$2:A362)+1</f>
        <v>62</v>
      </c>
      <c r="B363" s="156" t="s">
        <v>58</v>
      </c>
      <c r="C363" s="11" t="s">
        <v>539</v>
      </c>
      <c r="D363" s="28"/>
      <c r="E363" s="182" t="s">
        <v>540</v>
      </c>
      <c r="F363" s="183"/>
      <c r="G363" s="29" t="s">
        <v>11</v>
      </c>
      <c r="H363" s="70">
        <f>H364</f>
        <v>375</v>
      </c>
    </row>
    <row r="364" spans="1:16" s="144" customFormat="1" ht="14.25">
      <c r="A364" s="72"/>
      <c r="B364" s="156"/>
      <c r="C364" s="11"/>
      <c r="D364" s="30" t="s">
        <v>539</v>
      </c>
      <c r="E364" s="188" t="s">
        <v>540</v>
      </c>
      <c r="F364" s="189"/>
      <c r="G364" s="31" t="s">
        <v>11</v>
      </c>
      <c r="H364" s="71">
        <f>ROUND(F368,2)</f>
        <v>375</v>
      </c>
    </row>
    <row r="365" spans="1:16" ht="25.5">
      <c r="A365" s="35"/>
      <c r="B365" s="27"/>
      <c r="C365" s="63"/>
      <c r="D365" s="13"/>
      <c r="E365" s="175" t="s">
        <v>724</v>
      </c>
      <c r="F365" s="189"/>
      <c r="G365" s="31"/>
      <c r="H365" s="71"/>
    </row>
    <row r="366" spans="1:16">
      <c r="A366" s="35"/>
      <c r="B366" s="27"/>
      <c r="C366" s="63"/>
      <c r="D366" s="13"/>
      <c r="E366" s="175" t="s">
        <v>542</v>
      </c>
      <c r="F366" s="179">
        <v>309</v>
      </c>
      <c r="G366" s="31"/>
      <c r="H366" s="70"/>
    </row>
    <row r="367" spans="1:16">
      <c r="A367" s="35"/>
      <c r="B367" s="27"/>
      <c r="C367" s="63"/>
      <c r="D367" s="13"/>
      <c r="E367" s="175" t="s">
        <v>760</v>
      </c>
      <c r="F367" s="180">
        <v>66</v>
      </c>
      <c r="G367" s="31"/>
      <c r="H367" s="70"/>
    </row>
    <row r="368" spans="1:16">
      <c r="A368" s="35"/>
      <c r="B368" s="27"/>
      <c r="C368" s="63"/>
      <c r="D368" s="13"/>
      <c r="E368" s="181" t="s">
        <v>456</v>
      </c>
      <c r="F368" s="179">
        <f>SUM(F366:F367)</f>
        <v>375</v>
      </c>
      <c r="G368" s="31"/>
      <c r="H368" s="70"/>
    </row>
    <row r="369" spans="1:8" s="144" customFormat="1" ht="14.25">
      <c r="A369" s="72">
        <f>MAX(A$2:A366)+1</f>
        <v>63</v>
      </c>
      <c r="B369" s="156" t="s">
        <v>58</v>
      </c>
      <c r="C369" s="11" t="s">
        <v>311</v>
      </c>
      <c r="D369" s="28"/>
      <c r="E369" s="182" t="s">
        <v>312</v>
      </c>
      <c r="F369" s="183"/>
      <c r="G369" s="29" t="s">
        <v>13</v>
      </c>
      <c r="H369" s="70">
        <f>H370</f>
        <v>1233.58</v>
      </c>
    </row>
    <row r="370" spans="1:8" s="144" customFormat="1" ht="14.25">
      <c r="A370" s="72"/>
      <c r="B370" s="156"/>
      <c r="C370" s="11"/>
      <c r="D370" s="30" t="s">
        <v>311</v>
      </c>
      <c r="E370" s="188" t="s">
        <v>312</v>
      </c>
      <c r="F370" s="189"/>
      <c r="G370" s="31" t="s">
        <v>13</v>
      </c>
      <c r="H370" s="71">
        <f>ROUND(F375,2)</f>
        <v>1233.58</v>
      </c>
    </row>
    <row r="371" spans="1:8" ht="38.25">
      <c r="A371" s="44"/>
      <c r="B371" s="45"/>
      <c r="C371" s="63"/>
      <c r="D371" s="131"/>
      <c r="E371" s="175" t="s">
        <v>726</v>
      </c>
      <c r="F371" s="178"/>
      <c r="G371" s="47"/>
      <c r="H371" s="106"/>
    </row>
    <row r="372" spans="1:8" ht="15">
      <c r="A372" s="44"/>
      <c r="B372" s="45"/>
      <c r="C372" s="63"/>
      <c r="D372" s="46"/>
      <c r="E372" s="175" t="s">
        <v>313</v>
      </c>
      <c r="F372" s="178"/>
      <c r="G372" s="47"/>
      <c r="H372" s="106"/>
    </row>
    <row r="373" spans="1:8" ht="38.25">
      <c r="A373" s="44"/>
      <c r="B373" s="45"/>
      <c r="C373" s="63"/>
      <c r="D373" s="59"/>
      <c r="E373" s="175" t="s">
        <v>314</v>
      </c>
      <c r="F373" s="179">
        <f>(35.19+69.48+69.48+69.48+69.48+70.06+77.63+36.34+78.48+35.17+2*3)</f>
        <v>616.79</v>
      </c>
      <c r="G373" s="47"/>
      <c r="H373" s="106"/>
    </row>
    <row r="374" spans="1:8" ht="38.25">
      <c r="A374" s="44"/>
      <c r="B374" s="45"/>
      <c r="C374" s="63"/>
      <c r="D374" s="59"/>
      <c r="E374" s="175" t="s">
        <v>315</v>
      </c>
      <c r="F374" s="180">
        <f>(35.19+69.48+69.48+69.48+69.48+70.06+77.63+36.34+78.48+35.17+2*3)</f>
        <v>616.79</v>
      </c>
      <c r="G374" s="47"/>
      <c r="H374" s="106"/>
    </row>
    <row r="375" spans="1:8">
      <c r="A375" s="17"/>
      <c r="B375" s="27"/>
      <c r="C375" s="14"/>
      <c r="D375" s="13"/>
      <c r="E375" s="181" t="s">
        <v>456</v>
      </c>
      <c r="F375" s="179">
        <f>SUM(F373:F374)</f>
        <v>1233.58</v>
      </c>
      <c r="G375" s="31"/>
      <c r="H375" s="70"/>
    </row>
    <row r="376" spans="1:8" s="144" customFormat="1" ht="14.25">
      <c r="A376" s="72">
        <f>MAX(A$2:A375)+1</f>
        <v>64</v>
      </c>
      <c r="B376" s="156" t="s">
        <v>58</v>
      </c>
      <c r="C376" s="11" t="s">
        <v>547</v>
      </c>
      <c r="D376" s="28"/>
      <c r="E376" s="182" t="s">
        <v>548</v>
      </c>
      <c r="F376" s="183"/>
      <c r="G376" s="29" t="s">
        <v>11</v>
      </c>
      <c r="H376" s="70">
        <f>H377</f>
        <v>672</v>
      </c>
    </row>
    <row r="377" spans="1:8" s="144" customFormat="1" ht="14.25">
      <c r="A377" s="72"/>
      <c r="B377" s="156"/>
      <c r="C377" s="11"/>
      <c r="D377" s="30" t="s">
        <v>547</v>
      </c>
      <c r="E377" s="188" t="s">
        <v>548</v>
      </c>
      <c r="F377" s="189"/>
      <c r="G377" s="31" t="s">
        <v>11</v>
      </c>
      <c r="H377" s="71">
        <f>ROUND(F381,2)</f>
        <v>672</v>
      </c>
    </row>
    <row r="378" spans="1:8">
      <c r="A378" s="35"/>
      <c r="B378" s="27"/>
      <c r="C378" s="63"/>
      <c r="D378" s="13"/>
      <c r="E378" s="175" t="s">
        <v>549</v>
      </c>
      <c r="F378" s="179">
        <v>618</v>
      </c>
      <c r="G378" s="31"/>
      <c r="H378" s="70"/>
    </row>
    <row r="379" spans="1:8">
      <c r="A379" s="35"/>
      <c r="B379" s="27"/>
      <c r="C379" s="63"/>
      <c r="D379" s="13"/>
      <c r="E379" s="175" t="s">
        <v>550</v>
      </c>
      <c r="F379" s="179">
        <f>23*2</f>
        <v>46</v>
      </c>
      <c r="G379" s="31"/>
      <c r="H379" s="70"/>
    </row>
    <row r="380" spans="1:8">
      <c r="A380" s="35"/>
      <c r="B380" s="27"/>
      <c r="C380" s="63"/>
      <c r="D380" s="13"/>
      <c r="E380" s="175" t="s">
        <v>551</v>
      </c>
      <c r="F380" s="180">
        <f>4*2</f>
        <v>8</v>
      </c>
      <c r="G380" s="31"/>
      <c r="H380" s="70"/>
    </row>
    <row r="381" spans="1:8">
      <c r="A381" s="35"/>
      <c r="B381" s="27"/>
      <c r="C381" s="63"/>
      <c r="D381" s="13"/>
      <c r="E381" s="181" t="s">
        <v>456</v>
      </c>
      <c r="F381" s="179">
        <f>SUM(F378:F380)</f>
        <v>672</v>
      </c>
      <c r="G381" s="31"/>
      <c r="H381" s="70"/>
    </row>
    <row r="382" spans="1:8" s="144" customFormat="1" ht="25.5">
      <c r="A382" s="72">
        <f>MAX(A$2:A381)+1</f>
        <v>65</v>
      </c>
      <c r="B382" s="156" t="s">
        <v>58</v>
      </c>
      <c r="C382" s="11" t="s">
        <v>695</v>
      </c>
      <c r="D382" s="28"/>
      <c r="E382" s="182" t="s">
        <v>694</v>
      </c>
      <c r="F382" s="183"/>
      <c r="G382" s="29" t="s">
        <v>13</v>
      </c>
      <c r="H382" s="70">
        <f>H383</f>
        <v>114.4</v>
      </c>
    </row>
    <row r="383" spans="1:8" s="144" customFormat="1" ht="14.25">
      <c r="A383" s="72"/>
      <c r="B383" s="156"/>
      <c r="C383" s="11"/>
      <c r="D383" s="30" t="s">
        <v>695</v>
      </c>
      <c r="E383" s="188" t="s">
        <v>694</v>
      </c>
      <c r="F383" s="189"/>
      <c r="G383" s="31" t="s">
        <v>13</v>
      </c>
      <c r="H383" s="71">
        <f>ROUND(F384,2)</f>
        <v>114.4</v>
      </c>
    </row>
    <row r="384" spans="1:8" ht="25.5">
      <c r="A384" s="35"/>
      <c r="B384" s="27"/>
      <c r="C384" s="63"/>
      <c r="D384" s="13"/>
      <c r="E384" s="175" t="s">
        <v>782</v>
      </c>
      <c r="F384" s="179">
        <f>13*11*2/0.25*0.2/2</f>
        <v>114.4</v>
      </c>
      <c r="G384" s="31"/>
      <c r="H384" s="70"/>
    </row>
    <row r="385" spans="1:8" s="144" customFormat="1" ht="25.5">
      <c r="A385" s="72">
        <f>MAX(A$2:A384)+1</f>
        <v>66</v>
      </c>
      <c r="B385" s="156" t="s">
        <v>58</v>
      </c>
      <c r="C385" s="11" t="s">
        <v>37</v>
      </c>
      <c r="D385" s="28"/>
      <c r="E385" s="182" t="s">
        <v>38</v>
      </c>
      <c r="F385" s="183"/>
      <c r="G385" s="29" t="s">
        <v>12</v>
      </c>
      <c r="H385" s="70">
        <f>H386</f>
        <v>111.73</v>
      </c>
    </row>
    <row r="386" spans="1:8" s="144" customFormat="1" ht="25.5">
      <c r="A386" s="72"/>
      <c r="B386" s="156"/>
      <c r="C386" s="11"/>
      <c r="D386" s="30" t="s">
        <v>37</v>
      </c>
      <c r="E386" s="188" t="s">
        <v>38</v>
      </c>
      <c r="F386" s="189"/>
      <c r="G386" s="31" t="s">
        <v>12</v>
      </c>
      <c r="H386" s="71">
        <f>ROUND(F387,2)</f>
        <v>111.73</v>
      </c>
    </row>
    <row r="387" spans="1:8" ht="12.75" customHeight="1">
      <c r="A387" s="35"/>
      <c r="B387" s="25"/>
      <c r="C387" s="23"/>
      <c r="D387" s="21"/>
      <c r="E387" s="175" t="s">
        <v>568</v>
      </c>
      <c r="F387" s="16">
        <v>111.73</v>
      </c>
      <c r="G387" s="42"/>
      <c r="H387" s="71"/>
    </row>
    <row r="388" spans="1:8" ht="30">
      <c r="A388" s="48"/>
      <c r="B388" s="195" t="s">
        <v>69</v>
      </c>
      <c r="C388" s="63"/>
      <c r="D388" s="46"/>
      <c r="E388" s="192" t="s">
        <v>70</v>
      </c>
      <c r="F388" s="178"/>
      <c r="G388" s="47"/>
      <c r="H388" s="106"/>
    </row>
    <row r="389" spans="1:8" s="144" customFormat="1" ht="14.25">
      <c r="A389" s="72">
        <f>MAX(A$2:A388)+1</f>
        <v>67</v>
      </c>
      <c r="B389" s="156" t="s">
        <v>69</v>
      </c>
      <c r="C389" s="11" t="s">
        <v>71</v>
      </c>
      <c r="D389" s="28"/>
      <c r="E389" s="182" t="s">
        <v>72</v>
      </c>
      <c r="F389" s="183"/>
      <c r="G389" s="29" t="s">
        <v>10</v>
      </c>
      <c r="H389" s="70">
        <f>H390</f>
        <v>5.63</v>
      </c>
    </row>
    <row r="390" spans="1:8" s="144" customFormat="1" ht="14.25">
      <c r="A390" s="72"/>
      <c r="B390" s="156"/>
      <c r="C390" s="11"/>
      <c r="D390" s="30" t="s">
        <v>71</v>
      </c>
      <c r="E390" s="188" t="s">
        <v>72</v>
      </c>
      <c r="F390" s="189"/>
      <c r="G390" s="31" t="s">
        <v>10</v>
      </c>
      <c r="H390" s="71">
        <f>ROUND(F392,2)</f>
        <v>5.63</v>
      </c>
    </row>
    <row r="391" spans="1:8" ht="15">
      <c r="A391" s="35"/>
      <c r="B391" s="22"/>
      <c r="C391" s="11"/>
      <c r="D391" s="12"/>
      <c r="E391" s="175" t="s">
        <v>318</v>
      </c>
      <c r="F391" s="179"/>
      <c r="G391" s="29"/>
      <c r="H391" s="71"/>
    </row>
    <row r="392" spans="1:8" ht="12.75" customHeight="1">
      <c r="A392" s="35"/>
      <c r="B392" s="27"/>
      <c r="C392" s="26"/>
      <c r="D392" s="21"/>
      <c r="E392" s="175" t="s">
        <v>317</v>
      </c>
      <c r="F392" s="179">
        <f>0.6*0.13*0.75*37+0.5*0.195*0.75*16+0.5*0.18*0.75*34</f>
        <v>5.6295000000000002</v>
      </c>
      <c r="G392" s="41"/>
      <c r="H392" s="71"/>
    </row>
    <row r="393" spans="1:8" ht="30">
      <c r="A393" s="44"/>
      <c r="B393" s="45" t="s">
        <v>59</v>
      </c>
      <c r="C393" s="63"/>
      <c r="D393" s="46"/>
      <c r="E393" s="192" t="s">
        <v>78</v>
      </c>
      <c r="F393" s="178"/>
      <c r="G393" s="47"/>
      <c r="H393" s="106"/>
    </row>
    <row r="394" spans="1:8" s="144" customFormat="1" ht="25.5">
      <c r="A394" s="72">
        <f>MAX(A$2:A393)+1</f>
        <v>68</v>
      </c>
      <c r="B394" s="156" t="s">
        <v>59</v>
      </c>
      <c r="C394" s="11" t="s">
        <v>378</v>
      </c>
      <c r="D394" s="28"/>
      <c r="E394" s="182" t="s">
        <v>379</v>
      </c>
      <c r="F394" s="183"/>
      <c r="G394" s="29" t="s">
        <v>12</v>
      </c>
      <c r="H394" s="70">
        <f>H395</f>
        <v>16424.63</v>
      </c>
    </row>
    <row r="395" spans="1:8" s="144" customFormat="1" ht="38.25">
      <c r="A395" s="72"/>
      <c r="B395" s="156"/>
      <c r="C395" s="11"/>
      <c r="D395" s="30" t="s">
        <v>789</v>
      </c>
      <c r="E395" s="188" t="s">
        <v>790</v>
      </c>
      <c r="F395" s="189"/>
      <c r="G395" s="31" t="s">
        <v>12</v>
      </c>
      <c r="H395" s="71">
        <f>ROUND(F399,2)</f>
        <v>16424.63</v>
      </c>
    </row>
    <row r="396" spans="1:8" ht="15">
      <c r="A396" s="44"/>
      <c r="B396" s="45"/>
      <c r="C396" s="26"/>
      <c r="D396" s="20"/>
      <c r="E396" s="175" t="s">
        <v>792</v>
      </c>
      <c r="F396" s="179"/>
      <c r="G396" s="26"/>
      <c r="H396" s="106"/>
    </row>
    <row r="397" spans="1:8" ht="15">
      <c r="A397" s="44"/>
      <c r="B397" s="45"/>
      <c r="C397" s="26"/>
      <c r="D397" s="20"/>
      <c r="E397" s="175" t="s">
        <v>731</v>
      </c>
      <c r="F397" s="179">
        <f>(6637+53.75*16)*2</f>
        <v>14994</v>
      </c>
      <c r="G397" s="26"/>
      <c r="H397" s="106"/>
    </row>
    <row r="398" spans="1:8" ht="15">
      <c r="A398" s="44"/>
      <c r="B398" s="45"/>
      <c r="C398" s="26"/>
      <c r="D398" s="20"/>
      <c r="E398" s="175" t="s">
        <v>403</v>
      </c>
      <c r="F398" s="180">
        <f>551+550+(14.65+14.65)*11.25</f>
        <v>1430.625</v>
      </c>
      <c r="G398" s="26"/>
      <c r="H398" s="106"/>
    </row>
    <row r="399" spans="1:8" ht="15">
      <c r="A399" s="44"/>
      <c r="B399" s="45"/>
      <c r="C399" s="26"/>
      <c r="D399" s="20"/>
      <c r="E399" s="181" t="s">
        <v>456</v>
      </c>
      <c r="F399" s="179">
        <f>SUM(F397:F398)</f>
        <v>16424.625</v>
      </c>
      <c r="G399" s="26"/>
      <c r="H399" s="106"/>
    </row>
    <row r="400" spans="1:8" s="144" customFormat="1" ht="38.25">
      <c r="A400" s="72">
        <f>MAX(A$2:A399)+1</f>
        <v>69</v>
      </c>
      <c r="B400" s="156" t="s">
        <v>59</v>
      </c>
      <c r="C400" s="11" t="s">
        <v>410</v>
      </c>
      <c r="D400" s="28"/>
      <c r="E400" s="182" t="s">
        <v>411</v>
      </c>
      <c r="F400" s="183"/>
      <c r="G400" s="29" t="s">
        <v>12</v>
      </c>
      <c r="H400" s="70">
        <f>H401</f>
        <v>7497</v>
      </c>
    </row>
    <row r="401" spans="1:8" s="144" customFormat="1" ht="38.25">
      <c r="A401" s="72"/>
      <c r="B401" s="156"/>
      <c r="C401" s="11"/>
      <c r="D401" s="30" t="s">
        <v>412</v>
      </c>
      <c r="E401" s="188" t="s">
        <v>413</v>
      </c>
      <c r="F401" s="189"/>
      <c r="G401" s="31" t="s">
        <v>12</v>
      </c>
      <c r="H401" s="71">
        <f>ROUND(F403,2)</f>
        <v>7497</v>
      </c>
    </row>
    <row r="402" spans="1:8" ht="15">
      <c r="A402" s="44"/>
      <c r="B402" s="45"/>
      <c r="C402" s="26"/>
      <c r="D402" s="20"/>
      <c r="E402" s="175" t="s">
        <v>791</v>
      </c>
      <c r="F402" s="179"/>
      <c r="G402" s="26"/>
      <c r="H402" s="106"/>
    </row>
    <row r="403" spans="1:8" ht="15">
      <c r="A403" s="44"/>
      <c r="B403" s="45"/>
      <c r="C403" s="26"/>
      <c r="D403" s="20"/>
      <c r="E403" s="175" t="s">
        <v>414</v>
      </c>
      <c r="F403" s="179">
        <f>6637+53.75*16</f>
        <v>7497</v>
      </c>
      <c r="G403" s="26"/>
      <c r="H403" s="106"/>
    </row>
    <row r="404" spans="1:8" s="144" customFormat="1" ht="25.5">
      <c r="A404" s="72">
        <f>MAX(A$2:A403)+1</f>
        <v>70</v>
      </c>
      <c r="B404" s="156" t="s">
        <v>59</v>
      </c>
      <c r="C404" s="11" t="s">
        <v>380</v>
      </c>
      <c r="D404" s="28"/>
      <c r="E404" s="182" t="s">
        <v>381</v>
      </c>
      <c r="F404" s="183"/>
      <c r="G404" s="29" t="s">
        <v>10</v>
      </c>
      <c r="H404" s="70">
        <f>H405</f>
        <v>44.12</v>
      </c>
    </row>
    <row r="405" spans="1:8" s="144" customFormat="1" ht="25.5">
      <c r="A405" s="72"/>
      <c r="B405" s="156"/>
      <c r="C405" s="11"/>
      <c r="D405" s="30" t="s">
        <v>382</v>
      </c>
      <c r="E405" s="188" t="s">
        <v>383</v>
      </c>
      <c r="F405" s="189"/>
      <c r="G405" s="31" t="s">
        <v>10</v>
      </c>
      <c r="H405" s="71">
        <f>ROUND(F409,2)</f>
        <v>44.12</v>
      </c>
    </row>
    <row r="406" spans="1:8" ht="15">
      <c r="A406" s="44"/>
      <c r="B406" s="45"/>
      <c r="C406" s="26"/>
      <c r="D406" s="21"/>
      <c r="E406" s="175" t="s">
        <v>406</v>
      </c>
      <c r="F406" s="179"/>
      <c r="G406" s="26"/>
      <c r="H406" s="106"/>
    </row>
    <row r="407" spans="1:8" ht="25.5">
      <c r="A407" s="44"/>
      <c r="B407" s="45"/>
      <c r="C407" s="26"/>
      <c r="D407" s="21"/>
      <c r="E407" s="175" t="s">
        <v>384</v>
      </c>
      <c r="F407" s="179">
        <f>(14.65+14.65)*11.25*0.05</f>
        <v>16.481249999999999</v>
      </c>
      <c r="G407" s="26"/>
      <c r="H407" s="106"/>
    </row>
    <row r="408" spans="1:8" ht="25.5">
      <c r="A408" s="44"/>
      <c r="B408" s="45"/>
      <c r="C408" s="26"/>
      <c r="D408" s="21"/>
      <c r="E408" s="175" t="s">
        <v>385</v>
      </c>
      <c r="F408" s="180">
        <f>(13.65+13.65)*11.25*0.09</f>
        <v>27.641249999999999</v>
      </c>
      <c r="G408" s="26"/>
      <c r="H408" s="106"/>
    </row>
    <row r="409" spans="1:8" ht="15">
      <c r="A409" s="44"/>
      <c r="B409" s="45"/>
      <c r="C409" s="63"/>
      <c r="D409" s="59"/>
      <c r="E409" s="181" t="s">
        <v>456</v>
      </c>
      <c r="F409" s="179">
        <f>SUM(F407:F408)</f>
        <v>44.122500000000002</v>
      </c>
      <c r="G409" s="47"/>
      <c r="H409" s="106"/>
    </row>
    <row r="410" spans="1:8" s="144" customFormat="1" ht="25.5">
      <c r="A410" s="72">
        <f>MAX(A$2:A409)+1</f>
        <v>71</v>
      </c>
      <c r="B410" s="156" t="s">
        <v>59</v>
      </c>
      <c r="C410" s="11" t="s">
        <v>386</v>
      </c>
      <c r="D410" s="28"/>
      <c r="E410" s="182" t="s">
        <v>387</v>
      </c>
      <c r="F410" s="183"/>
      <c r="G410" s="29" t="s">
        <v>10</v>
      </c>
      <c r="H410" s="70">
        <f>H411</f>
        <v>309.52</v>
      </c>
    </row>
    <row r="411" spans="1:8" s="144" customFormat="1" ht="25.5">
      <c r="A411" s="72"/>
      <c r="B411" s="156"/>
      <c r="C411" s="11"/>
      <c r="D411" s="30" t="s">
        <v>388</v>
      </c>
      <c r="E411" s="188" t="s">
        <v>389</v>
      </c>
      <c r="F411" s="189"/>
      <c r="G411" s="31" t="s">
        <v>10</v>
      </c>
      <c r="H411" s="71">
        <f>ROUND(F415,2)</f>
        <v>309.52</v>
      </c>
    </row>
    <row r="412" spans="1:8" ht="15">
      <c r="A412" s="44"/>
      <c r="B412" s="45"/>
      <c r="C412" s="26"/>
      <c r="D412" s="21"/>
      <c r="E412" s="175" t="s">
        <v>783</v>
      </c>
      <c r="F412" s="179"/>
      <c r="G412" s="26"/>
      <c r="H412" s="106"/>
    </row>
    <row r="413" spans="1:8" ht="15">
      <c r="A413" s="44"/>
      <c r="B413" s="45"/>
      <c r="C413" s="26"/>
      <c r="D413" s="20"/>
      <c r="E413" s="175" t="s">
        <v>405</v>
      </c>
      <c r="F413" s="179">
        <f xml:space="preserve"> 6637*0.04</f>
        <v>265.48</v>
      </c>
      <c r="G413" s="26"/>
      <c r="H413" s="106"/>
    </row>
    <row r="414" spans="1:8" ht="15">
      <c r="A414" s="44"/>
      <c r="B414" s="45"/>
      <c r="C414" s="26"/>
      <c r="D414" s="21"/>
      <c r="E414" s="175" t="s">
        <v>404</v>
      </c>
      <c r="F414" s="180">
        <f>(551+550)*0.04</f>
        <v>44.04</v>
      </c>
      <c r="G414" s="26"/>
      <c r="H414" s="106"/>
    </row>
    <row r="415" spans="1:8" ht="15">
      <c r="A415" s="44"/>
      <c r="B415" s="45"/>
      <c r="C415" s="63"/>
      <c r="D415" s="59"/>
      <c r="E415" s="181" t="s">
        <v>456</v>
      </c>
      <c r="F415" s="179">
        <f>SUM(F413:F414)</f>
        <v>309.52000000000004</v>
      </c>
      <c r="G415" s="47"/>
      <c r="H415" s="106"/>
    </row>
    <row r="416" spans="1:8" s="144" customFormat="1" ht="25.5">
      <c r="A416" s="72">
        <f>MAX(A$2:A415)+1</f>
        <v>72</v>
      </c>
      <c r="B416" s="156" t="s">
        <v>59</v>
      </c>
      <c r="C416" s="11" t="s">
        <v>374</v>
      </c>
      <c r="D416" s="28"/>
      <c r="E416" s="182" t="s">
        <v>375</v>
      </c>
      <c r="F416" s="183"/>
      <c r="G416" s="29" t="s">
        <v>10</v>
      </c>
      <c r="H416" s="70">
        <f>H417</f>
        <v>3.99</v>
      </c>
    </row>
    <row r="417" spans="1:8" s="144" customFormat="1" ht="25.5">
      <c r="A417" s="72"/>
      <c r="B417" s="156"/>
      <c r="C417" s="11"/>
      <c r="D417" s="30" t="s">
        <v>376</v>
      </c>
      <c r="E417" s="188" t="s">
        <v>377</v>
      </c>
      <c r="F417" s="189"/>
      <c r="G417" s="31" t="s">
        <v>10</v>
      </c>
      <c r="H417" s="71">
        <f>ROUND(F418,2)</f>
        <v>3.99</v>
      </c>
    </row>
    <row r="418" spans="1:8" ht="15">
      <c r="A418" s="44"/>
      <c r="B418" s="45"/>
      <c r="C418" s="26"/>
      <c r="D418" s="20"/>
      <c r="E418" s="175" t="s">
        <v>538</v>
      </c>
      <c r="F418" s="179">
        <f xml:space="preserve"> 88.6*0.045</f>
        <v>3.9869999999999997</v>
      </c>
      <c r="G418" s="26"/>
      <c r="H418" s="106"/>
    </row>
    <row r="419" spans="1:8" s="144" customFormat="1" ht="25.5">
      <c r="A419" s="72">
        <f>MAX(A$2:A418)+1</f>
        <v>73</v>
      </c>
      <c r="B419" s="156" t="s">
        <v>59</v>
      </c>
      <c r="C419" s="11" t="s">
        <v>407</v>
      </c>
      <c r="D419" s="28"/>
      <c r="E419" s="182" t="s">
        <v>408</v>
      </c>
      <c r="F419" s="183"/>
      <c r="G419" s="29" t="s">
        <v>10</v>
      </c>
      <c r="H419" s="70">
        <f>H420+H422</f>
        <v>368.09</v>
      </c>
    </row>
    <row r="420" spans="1:8" s="144" customFormat="1" ht="25.5">
      <c r="A420" s="72"/>
      <c r="B420" s="156"/>
      <c r="C420" s="11"/>
      <c r="D420" s="30" t="s">
        <v>784</v>
      </c>
      <c r="E420" s="188" t="s">
        <v>785</v>
      </c>
      <c r="F420" s="189"/>
      <c r="G420" s="31" t="s">
        <v>10</v>
      </c>
      <c r="H420" s="71">
        <f>ROUND(F421,2)</f>
        <v>34.4</v>
      </c>
    </row>
    <row r="421" spans="1:8" ht="15">
      <c r="A421" s="44"/>
      <c r="B421" s="45"/>
      <c r="C421" s="26"/>
      <c r="D421" s="20"/>
      <c r="E421" s="175" t="s">
        <v>409</v>
      </c>
      <c r="F421" s="179">
        <f>53.75*16*0.04</f>
        <v>34.4</v>
      </c>
      <c r="G421" s="26"/>
      <c r="H421" s="106"/>
    </row>
    <row r="422" spans="1:8" s="144" customFormat="1" ht="25.5">
      <c r="A422" s="72"/>
      <c r="B422" s="156"/>
      <c r="C422" s="11"/>
      <c r="D422" s="30" t="s">
        <v>786</v>
      </c>
      <c r="E422" s="188" t="s">
        <v>787</v>
      </c>
      <c r="F422" s="189"/>
      <c r="G422" s="31" t="s">
        <v>10</v>
      </c>
      <c r="H422" s="71">
        <f>ROUND(F423,2)</f>
        <v>333.69</v>
      </c>
    </row>
    <row r="423" spans="1:8" ht="25.5">
      <c r="A423" s="44"/>
      <c r="B423" s="45"/>
      <c r="C423" s="26"/>
      <c r="D423" s="20"/>
      <c r="E423" s="175" t="s">
        <v>788</v>
      </c>
      <c r="F423" s="179">
        <f xml:space="preserve"> (6637+53.75*16-81.64)*0.045</f>
        <v>333.69119999999998</v>
      </c>
      <c r="G423" s="26"/>
      <c r="H423" s="106"/>
    </row>
    <row r="424" spans="1:8" s="144" customFormat="1" ht="25.5">
      <c r="A424" s="72">
        <f>MAX(A$2:A423)+1</f>
        <v>74</v>
      </c>
      <c r="B424" s="11" t="s">
        <v>59</v>
      </c>
      <c r="C424" s="11" t="s">
        <v>475</v>
      </c>
      <c r="D424" s="28"/>
      <c r="E424" s="182" t="s">
        <v>476</v>
      </c>
      <c r="F424" s="196"/>
      <c r="G424" s="29" t="s">
        <v>12</v>
      </c>
      <c r="H424" s="70">
        <f>H425</f>
        <v>79.7</v>
      </c>
    </row>
    <row r="425" spans="1:8" s="144" customFormat="1" ht="25.5">
      <c r="A425" s="80"/>
      <c r="B425" s="81"/>
      <c r="C425" s="197"/>
      <c r="D425" s="30" t="s">
        <v>475</v>
      </c>
      <c r="E425" s="188" t="s">
        <v>476</v>
      </c>
      <c r="F425" s="198"/>
      <c r="G425" s="31" t="s">
        <v>12</v>
      </c>
      <c r="H425" s="71">
        <f>ROUND(F431,2)</f>
        <v>79.7</v>
      </c>
    </row>
    <row r="426" spans="1:8" ht="15">
      <c r="A426" s="44"/>
      <c r="B426" s="45"/>
      <c r="C426" s="26"/>
      <c r="D426" s="20"/>
      <c r="E426" s="175" t="s">
        <v>477</v>
      </c>
      <c r="F426" s="179">
        <f>(0.5+3.9)*0.15</f>
        <v>0.66</v>
      </c>
      <c r="G426" s="26"/>
      <c r="H426" s="106"/>
    </row>
    <row r="427" spans="1:8" ht="15">
      <c r="A427" s="44"/>
      <c r="B427" s="45"/>
      <c r="C427" s="26"/>
      <c r="D427" s="20"/>
      <c r="E427" s="175" t="s">
        <v>533</v>
      </c>
      <c r="F427" s="179">
        <f>0.3*16</f>
        <v>4.8</v>
      </c>
      <c r="G427" s="26"/>
      <c r="H427" s="106"/>
    </row>
    <row r="428" spans="1:8" ht="15">
      <c r="A428" s="44"/>
      <c r="B428" s="45"/>
      <c r="C428" s="26"/>
      <c r="D428" s="20"/>
      <c r="E428" s="175" t="s">
        <v>534</v>
      </c>
      <c r="F428" s="179">
        <f>0.68*15.65</f>
        <v>10.642000000000001</v>
      </c>
      <c r="G428" s="26"/>
      <c r="H428" s="106"/>
    </row>
    <row r="429" spans="1:8" ht="15">
      <c r="A429" s="44"/>
      <c r="B429" s="45"/>
      <c r="C429" s="26"/>
      <c r="D429" s="20"/>
      <c r="E429" s="175" t="s">
        <v>632</v>
      </c>
      <c r="F429" s="179">
        <f>1.5*(10.2+7.1)*0.5</f>
        <v>12.974999999999998</v>
      </c>
      <c r="G429" s="26"/>
      <c r="H429" s="106"/>
    </row>
    <row r="430" spans="1:8" ht="25.5">
      <c r="A430" s="44"/>
      <c r="B430" s="45"/>
      <c r="C430" s="26"/>
      <c r="D430" s="20"/>
      <c r="E430" s="175" t="s">
        <v>474</v>
      </c>
      <c r="F430" s="180">
        <f>1.5*(149+102)*0.1+1.5*(10.2+7.1)*0.5</f>
        <v>50.625</v>
      </c>
      <c r="G430" s="26"/>
      <c r="H430" s="106"/>
    </row>
    <row r="431" spans="1:8" ht="15">
      <c r="A431" s="44"/>
      <c r="B431" s="45"/>
      <c r="C431" s="26"/>
      <c r="D431" s="20"/>
      <c r="E431" s="181" t="s">
        <v>456</v>
      </c>
      <c r="F431" s="179">
        <f>SUM(F426:F430)</f>
        <v>79.701999999999998</v>
      </c>
      <c r="G431" s="26"/>
      <c r="H431" s="106"/>
    </row>
    <row r="432" spans="1:8" ht="38.25">
      <c r="A432" s="35">
        <f>MAX(A$2:A431)+1</f>
        <v>75</v>
      </c>
      <c r="B432" s="73" t="s">
        <v>59</v>
      </c>
      <c r="C432" s="11" t="s">
        <v>453</v>
      </c>
      <c r="D432" s="28"/>
      <c r="E432" s="182" t="s">
        <v>454</v>
      </c>
      <c r="F432" s="183"/>
      <c r="G432" s="29" t="s">
        <v>13</v>
      </c>
      <c r="H432" s="70">
        <f>H433</f>
        <v>21.5</v>
      </c>
    </row>
    <row r="433" spans="1:8" ht="25.5">
      <c r="A433" s="72"/>
      <c r="B433" s="74"/>
      <c r="C433" s="14"/>
      <c r="D433" s="30" t="s">
        <v>453</v>
      </c>
      <c r="E433" s="188" t="s">
        <v>454</v>
      </c>
      <c r="F433" s="189"/>
      <c r="G433" s="31" t="s">
        <v>13</v>
      </c>
      <c r="H433" s="71">
        <f>ROUND(F434,2)</f>
        <v>21.5</v>
      </c>
    </row>
    <row r="434" spans="1:8">
      <c r="A434" s="35"/>
      <c r="B434" s="27"/>
      <c r="C434" s="26"/>
      <c r="D434" s="13"/>
      <c r="E434" s="175" t="s">
        <v>455</v>
      </c>
      <c r="F434" s="179">
        <f>10.75*2</f>
        <v>21.5</v>
      </c>
      <c r="G434" s="31"/>
      <c r="H434" s="71"/>
    </row>
    <row r="435" spans="1:8" ht="25.5">
      <c r="A435" s="35">
        <f>MAX(A$2:A434)+1</f>
        <v>76</v>
      </c>
      <c r="B435" s="73" t="s">
        <v>59</v>
      </c>
      <c r="C435" s="11" t="s">
        <v>442</v>
      </c>
      <c r="D435" s="28"/>
      <c r="E435" s="182" t="s">
        <v>444</v>
      </c>
      <c r="F435" s="183"/>
      <c r="G435" s="29" t="s">
        <v>13</v>
      </c>
      <c r="H435" s="70">
        <f>H436+H441</f>
        <v>3185.7200000000003</v>
      </c>
    </row>
    <row r="436" spans="1:8" ht="27" customHeight="1">
      <c r="A436" s="72"/>
      <c r="B436" s="74"/>
      <c r="C436" s="28"/>
      <c r="D436" s="30" t="s">
        <v>443</v>
      </c>
      <c r="E436" s="188" t="s">
        <v>445</v>
      </c>
      <c r="F436" s="189"/>
      <c r="G436" s="31" t="s">
        <v>13</v>
      </c>
      <c r="H436" s="71">
        <f>ROUND(F440,2)</f>
        <v>1571.3</v>
      </c>
    </row>
    <row r="437" spans="1:8">
      <c r="A437" s="35"/>
      <c r="B437" s="25"/>
      <c r="C437" s="26"/>
      <c r="D437" s="13"/>
      <c r="E437" s="175" t="s">
        <v>446</v>
      </c>
      <c r="F437" s="179">
        <f xml:space="preserve"> 616+10+615.4+1</f>
        <v>1242.4000000000001</v>
      </c>
      <c r="G437" s="31"/>
      <c r="H437" s="71"/>
    </row>
    <row r="438" spans="1:8">
      <c r="A438" s="35"/>
      <c r="B438" s="25"/>
      <c r="C438" s="26"/>
      <c r="D438" s="13"/>
      <c r="E438" s="175" t="s">
        <v>732</v>
      </c>
      <c r="F438" s="179">
        <f xml:space="preserve">  44*2*(0.3+0.5)</f>
        <v>70.400000000000006</v>
      </c>
      <c r="G438" s="31"/>
      <c r="H438" s="71"/>
    </row>
    <row r="439" spans="1:8">
      <c r="A439" s="35"/>
      <c r="B439" s="25"/>
      <c r="C439" s="26"/>
      <c r="D439" s="129"/>
      <c r="E439" s="175" t="s">
        <v>447</v>
      </c>
      <c r="F439" s="180">
        <f>11*11.75*2</f>
        <v>258.5</v>
      </c>
      <c r="G439" s="31"/>
      <c r="H439" s="71"/>
    </row>
    <row r="440" spans="1:8">
      <c r="A440" s="35"/>
      <c r="B440" s="27"/>
      <c r="C440" s="28"/>
      <c r="D440" s="13"/>
      <c r="E440" s="181" t="s">
        <v>456</v>
      </c>
      <c r="F440" s="179">
        <f>SUM(F437:F439)</f>
        <v>1571.3000000000002</v>
      </c>
      <c r="G440" s="31"/>
      <c r="H440" s="71"/>
    </row>
    <row r="441" spans="1:8" ht="38.25">
      <c r="A441" s="35"/>
      <c r="B441" s="27"/>
      <c r="C441" s="28"/>
      <c r="D441" s="30" t="s">
        <v>448</v>
      </c>
      <c r="E441" s="188" t="s">
        <v>449</v>
      </c>
      <c r="F441" s="189"/>
      <c r="G441" s="31" t="s">
        <v>13</v>
      </c>
      <c r="H441" s="71">
        <f>ROUND(F446,2)</f>
        <v>1614.42</v>
      </c>
    </row>
    <row r="442" spans="1:8">
      <c r="A442" s="35"/>
      <c r="B442" s="25"/>
      <c r="C442" s="26"/>
      <c r="D442" s="13"/>
      <c r="E442" s="175" t="s">
        <v>450</v>
      </c>
      <c r="F442" s="179">
        <f>616+10+615.4+1</f>
        <v>1242.4000000000001</v>
      </c>
      <c r="G442" s="31"/>
      <c r="H442" s="71"/>
    </row>
    <row r="443" spans="1:8">
      <c r="A443" s="35"/>
      <c r="B443" s="25"/>
      <c r="C443" s="26"/>
      <c r="D443" s="13"/>
      <c r="E443" s="175" t="s">
        <v>732</v>
      </c>
      <c r="F443" s="179">
        <f xml:space="preserve"> 44*2*(0.3+0.5)</f>
        <v>70.400000000000006</v>
      </c>
      <c r="G443" s="31"/>
      <c r="H443" s="71"/>
    </row>
    <row r="444" spans="1:8">
      <c r="A444" s="35"/>
      <c r="B444" s="25"/>
      <c r="C444" s="26"/>
      <c r="D444" s="13"/>
      <c r="E444" s="175" t="s">
        <v>451</v>
      </c>
      <c r="F444" s="179">
        <f>11*11.75*2</f>
        <v>258.5</v>
      </c>
      <c r="G444" s="31"/>
      <c r="H444" s="71"/>
    </row>
    <row r="445" spans="1:8">
      <c r="A445" s="35"/>
      <c r="B445" s="27"/>
      <c r="C445" s="26"/>
      <c r="D445" s="13"/>
      <c r="E445" s="175" t="s">
        <v>452</v>
      </c>
      <c r="F445" s="180">
        <f>0.95*11*2+1.01*11*2</f>
        <v>43.12</v>
      </c>
      <c r="G445" s="31"/>
      <c r="H445" s="71"/>
    </row>
    <row r="446" spans="1:8">
      <c r="A446" s="35"/>
      <c r="B446" s="27"/>
      <c r="C446" s="26"/>
      <c r="D446" s="13"/>
      <c r="E446" s="181" t="s">
        <v>456</v>
      </c>
      <c r="F446" s="179">
        <f>SUM(F442:F445)</f>
        <v>1614.42</v>
      </c>
      <c r="G446" s="31"/>
      <c r="H446" s="71"/>
    </row>
    <row r="447" spans="1:8" ht="25.5">
      <c r="A447" s="35">
        <f>MAX(A$2:A446)+1</f>
        <v>77</v>
      </c>
      <c r="B447" s="11" t="s">
        <v>59</v>
      </c>
      <c r="C447" s="11" t="s">
        <v>479</v>
      </c>
      <c r="D447" s="28"/>
      <c r="E447" s="182" t="s">
        <v>480</v>
      </c>
      <c r="F447" s="196"/>
      <c r="G447" s="29" t="s">
        <v>12</v>
      </c>
      <c r="H447" s="70">
        <f>H448</f>
        <v>112.95</v>
      </c>
    </row>
    <row r="448" spans="1:8" ht="25.5">
      <c r="A448" s="80"/>
      <c r="B448" s="81"/>
      <c r="C448" s="30"/>
      <c r="D448" s="30" t="s">
        <v>479</v>
      </c>
      <c r="E448" s="188" t="s">
        <v>480</v>
      </c>
      <c r="F448" s="198"/>
      <c r="G448" s="31" t="s">
        <v>12</v>
      </c>
      <c r="H448" s="71">
        <f>ROUND(F449,2)</f>
        <v>112.95</v>
      </c>
    </row>
    <row r="449" spans="1:8" ht="25.5">
      <c r="A449" s="44"/>
      <c r="B449" s="45"/>
      <c r="C449" s="26"/>
      <c r="D449" s="20"/>
      <c r="E449" s="175" t="s">
        <v>481</v>
      </c>
      <c r="F449" s="179">
        <f>1.5*(149+102)*0.3</f>
        <v>112.95</v>
      </c>
      <c r="G449" s="26"/>
      <c r="H449" s="106"/>
    </row>
    <row r="450" spans="1:8" ht="12.75" customHeight="1">
      <c r="A450" s="35">
        <f>MAX(A$2:A449)+1</f>
        <v>78</v>
      </c>
      <c r="B450" s="22" t="s">
        <v>59</v>
      </c>
      <c r="C450" s="11" t="s">
        <v>457</v>
      </c>
      <c r="D450" s="12"/>
      <c r="E450" s="182" t="s">
        <v>458</v>
      </c>
      <c r="F450" s="183"/>
      <c r="G450" s="29" t="s">
        <v>13</v>
      </c>
      <c r="H450" s="70">
        <f>H451</f>
        <v>30.3</v>
      </c>
    </row>
    <row r="451" spans="1:8" ht="12.75" customHeight="1">
      <c r="A451" s="35"/>
      <c r="B451" s="27"/>
      <c r="C451" s="30"/>
      <c r="D451" s="79" t="s">
        <v>459</v>
      </c>
      <c r="E451" s="188" t="s">
        <v>460</v>
      </c>
      <c r="F451" s="189"/>
      <c r="G451" s="31" t="s">
        <v>13</v>
      </c>
      <c r="H451" s="71">
        <f>ROUND(F452,2)</f>
        <v>30.3</v>
      </c>
    </row>
    <row r="452" spans="1:8" ht="25.5">
      <c r="A452" s="35"/>
      <c r="B452" s="27"/>
      <c r="C452" s="63"/>
      <c r="D452" s="20"/>
      <c r="E452" s="175" t="s">
        <v>512</v>
      </c>
      <c r="F452" s="179">
        <f>16.95+13.35</f>
        <v>30.299999999999997</v>
      </c>
      <c r="G452" s="43"/>
      <c r="H452" s="70"/>
    </row>
    <row r="453" spans="1:8" ht="15">
      <c r="A453" s="35">
        <f>MAX(A$2:A452)+1</f>
        <v>79</v>
      </c>
      <c r="B453" s="22" t="s">
        <v>59</v>
      </c>
      <c r="C453" s="11" t="s">
        <v>344</v>
      </c>
      <c r="D453" s="28"/>
      <c r="E453" s="182" t="s">
        <v>345</v>
      </c>
      <c r="F453" s="183"/>
      <c r="G453" s="29" t="s">
        <v>13</v>
      </c>
      <c r="H453" s="70">
        <f>H454</f>
        <v>56</v>
      </c>
    </row>
    <row r="454" spans="1:8">
      <c r="A454" s="35"/>
      <c r="B454" s="27"/>
      <c r="C454" s="14"/>
      <c r="D454" s="30" t="s">
        <v>346</v>
      </c>
      <c r="E454" s="188" t="s">
        <v>347</v>
      </c>
      <c r="F454" s="189"/>
      <c r="G454" s="31" t="s">
        <v>13</v>
      </c>
      <c r="H454" s="71">
        <f>F455</f>
        <v>56</v>
      </c>
    </row>
    <row r="455" spans="1:8" ht="12.75" customHeight="1">
      <c r="A455" s="35"/>
      <c r="B455" s="25"/>
      <c r="C455" s="26"/>
      <c r="D455" s="13"/>
      <c r="E455" s="175" t="s">
        <v>348</v>
      </c>
      <c r="F455" s="179">
        <f xml:space="preserve"> 28+28</f>
        <v>56</v>
      </c>
      <c r="G455" s="31"/>
      <c r="H455" s="71"/>
    </row>
    <row r="456" spans="1:8" ht="25.5">
      <c r="A456" s="35"/>
      <c r="B456" s="25"/>
      <c r="C456" s="26"/>
      <c r="D456" s="13"/>
      <c r="E456" s="175" t="s">
        <v>349</v>
      </c>
      <c r="F456" s="179"/>
      <c r="G456" s="31"/>
      <c r="H456" s="71"/>
    </row>
    <row r="457" spans="1:8" ht="25.5">
      <c r="A457" s="35">
        <f>MAX(A$2:A456)+1</f>
        <v>80</v>
      </c>
      <c r="B457" s="22" t="s">
        <v>59</v>
      </c>
      <c r="C457" s="11" t="s">
        <v>350</v>
      </c>
      <c r="D457" s="28"/>
      <c r="E457" s="182" t="s">
        <v>351</v>
      </c>
      <c r="F457" s="183"/>
      <c r="G457" s="29" t="s">
        <v>11</v>
      </c>
      <c r="H457" s="70">
        <f>H458</f>
        <v>80</v>
      </c>
    </row>
    <row r="458" spans="1:8" ht="25.5">
      <c r="A458" s="35"/>
      <c r="B458" s="27"/>
      <c r="C458" s="14"/>
      <c r="D458" s="30" t="s">
        <v>350</v>
      </c>
      <c r="E458" s="188" t="s">
        <v>351</v>
      </c>
      <c r="F458" s="189"/>
      <c r="G458" s="31" t="s">
        <v>11</v>
      </c>
      <c r="H458" s="71">
        <f>F461</f>
        <v>80</v>
      </c>
    </row>
    <row r="459" spans="1:8">
      <c r="A459" s="35"/>
      <c r="B459" s="25"/>
      <c r="C459" s="26"/>
      <c r="D459" s="13"/>
      <c r="E459" s="175" t="s">
        <v>352</v>
      </c>
      <c r="F459" s="179">
        <f>20+20</f>
        <v>40</v>
      </c>
      <c r="G459" s="31"/>
      <c r="H459" s="71"/>
    </row>
    <row r="460" spans="1:8">
      <c r="A460" s="35"/>
      <c r="B460" s="25"/>
      <c r="C460" s="26"/>
      <c r="D460" s="13"/>
      <c r="E460" s="175" t="s">
        <v>353</v>
      </c>
      <c r="F460" s="180">
        <f>20+20</f>
        <v>40</v>
      </c>
      <c r="G460" s="31"/>
      <c r="H460" s="71"/>
    </row>
    <row r="461" spans="1:8" ht="12.75" customHeight="1">
      <c r="A461" s="35"/>
      <c r="B461" s="25"/>
      <c r="C461" s="26"/>
      <c r="D461" s="13"/>
      <c r="E461" s="181" t="s">
        <v>456</v>
      </c>
      <c r="F461" s="179">
        <f>SUM(F459:F460)</f>
        <v>80</v>
      </c>
      <c r="G461" s="31"/>
      <c r="H461" s="71"/>
    </row>
    <row r="462" spans="1:8" ht="25.5">
      <c r="A462" s="35">
        <f>MAX(A$2:A461)+1</f>
        <v>81</v>
      </c>
      <c r="B462" s="22" t="s">
        <v>59</v>
      </c>
      <c r="C462" s="11" t="s">
        <v>421</v>
      </c>
      <c r="D462" s="28"/>
      <c r="E462" s="182" t="s">
        <v>422</v>
      </c>
      <c r="F462" s="183"/>
      <c r="G462" s="29" t="s">
        <v>11</v>
      </c>
      <c r="H462" s="70">
        <f>H463</f>
        <v>74</v>
      </c>
    </row>
    <row r="463" spans="1:8" ht="25.5">
      <c r="A463" s="35"/>
      <c r="B463" s="27"/>
      <c r="C463" s="14"/>
      <c r="D463" s="30" t="s">
        <v>421</v>
      </c>
      <c r="E463" s="188" t="s">
        <v>422</v>
      </c>
      <c r="F463" s="189"/>
      <c r="G463" s="31" t="s">
        <v>11</v>
      </c>
      <c r="H463" s="71">
        <f>F464</f>
        <v>74</v>
      </c>
    </row>
    <row r="464" spans="1:8">
      <c r="A464" s="35"/>
      <c r="B464" s="25"/>
      <c r="C464" s="26"/>
      <c r="D464" s="13"/>
      <c r="E464" s="175" t="s">
        <v>427</v>
      </c>
      <c r="F464" s="179">
        <f>37+37</f>
        <v>74</v>
      </c>
      <c r="G464" s="31"/>
      <c r="H464" s="71"/>
    </row>
    <row r="465" spans="1:8" ht="25.5">
      <c r="A465" s="35">
        <f>MAX(A$2:A464)+1</f>
        <v>82</v>
      </c>
      <c r="B465" s="22" t="s">
        <v>59</v>
      </c>
      <c r="C465" s="11" t="s">
        <v>423</v>
      </c>
      <c r="D465" s="28"/>
      <c r="E465" s="182" t="s">
        <v>424</v>
      </c>
      <c r="F465" s="183"/>
      <c r="G465" s="29" t="s">
        <v>11</v>
      </c>
      <c r="H465" s="70">
        <f>H466</f>
        <v>2</v>
      </c>
    </row>
    <row r="466" spans="1:8" ht="25.5">
      <c r="A466" s="35"/>
      <c r="B466" s="27"/>
      <c r="C466" s="14"/>
      <c r="D466" s="30" t="s">
        <v>425</v>
      </c>
      <c r="E466" s="188" t="s">
        <v>426</v>
      </c>
      <c r="F466" s="189"/>
      <c r="G466" s="31" t="s">
        <v>11</v>
      </c>
      <c r="H466" s="71">
        <f>F467</f>
        <v>2</v>
      </c>
    </row>
    <row r="467" spans="1:8" ht="12.75" customHeight="1">
      <c r="A467" s="35"/>
      <c r="B467" s="27"/>
      <c r="C467" s="26"/>
      <c r="D467" s="13"/>
      <c r="E467" s="175" t="s">
        <v>428</v>
      </c>
      <c r="F467" s="179">
        <v>2</v>
      </c>
      <c r="G467" s="31"/>
      <c r="H467" s="71"/>
    </row>
    <row r="468" spans="1:8" ht="12.75" customHeight="1">
      <c r="A468" s="35"/>
      <c r="B468" s="27"/>
      <c r="C468" s="26"/>
      <c r="D468" s="13"/>
      <c r="E468" s="175"/>
      <c r="F468" s="179"/>
      <c r="G468" s="31"/>
      <c r="H468" s="71"/>
    </row>
    <row r="469" spans="1:8" ht="15">
      <c r="A469" s="35">
        <f>MAX(A$2:A468)+1</f>
        <v>83</v>
      </c>
      <c r="B469" s="22" t="s">
        <v>59</v>
      </c>
      <c r="C469" s="11" t="s">
        <v>74</v>
      </c>
      <c r="D469" s="28"/>
      <c r="E469" s="182" t="s">
        <v>75</v>
      </c>
      <c r="F469" s="183"/>
      <c r="G469" s="29" t="s">
        <v>13</v>
      </c>
      <c r="H469" s="70">
        <f>H470</f>
        <v>26.64</v>
      </c>
    </row>
    <row r="470" spans="1:8">
      <c r="A470" s="35"/>
      <c r="B470" s="27"/>
      <c r="C470" s="14"/>
      <c r="D470" s="30" t="s">
        <v>76</v>
      </c>
      <c r="E470" s="188" t="s">
        <v>77</v>
      </c>
      <c r="F470" s="189"/>
      <c r="G470" s="31" t="s">
        <v>13</v>
      </c>
      <c r="H470" s="71">
        <f>F473</f>
        <v>26.64</v>
      </c>
    </row>
    <row r="471" spans="1:8">
      <c r="A471" s="35"/>
      <c r="B471" s="27"/>
      <c r="C471" s="14"/>
      <c r="D471" s="13"/>
      <c r="E471" s="175" t="s">
        <v>569</v>
      </c>
      <c r="F471" s="179">
        <f>6*2+10.64</f>
        <v>22.64</v>
      </c>
      <c r="G471" s="31"/>
      <c r="H471" s="71"/>
    </row>
    <row r="472" spans="1:8" ht="12.75" customHeight="1">
      <c r="A472" s="35"/>
      <c r="B472" s="27"/>
      <c r="C472" s="26"/>
      <c r="D472" s="21"/>
      <c r="E472" s="175" t="s">
        <v>429</v>
      </c>
      <c r="F472" s="180">
        <f>2*2</f>
        <v>4</v>
      </c>
      <c r="G472" s="43"/>
      <c r="H472" s="70"/>
    </row>
    <row r="473" spans="1:8" ht="12.75" customHeight="1">
      <c r="A473" s="35"/>
      <c r="B473" s="27"/>
      <c r="C473" s="26"/>
      <c r="D473" s="21"/>
      <c r="E473" s="181" t="s">
        <v>456</v>
      </c>
      <c r="F473" s="179">
        <f>SUM(F471:F472)</f>
        <v>26.64</v>
      </c>
      <c r="G473" s="43"/>
      <c r="H473" s="70"/>
    </row>
    <row r="474" spans="1:8" ht="25.5">
      <c r="A474" s="35">
        <f>MAX(A$2:A473)+1</f>
        <v>84</v>
      </c>
      <c r="B474" s="82" t="s">
        <v>59</v>
      </c>
      <c r="C474" s="11" t="s">
        <v>482</v>
      </c>
      <c r="D474" s="12"/>
      <c r="E474" s="182" t="s">
        <v>483</v>
      </c>
      <c r="F474" s="199"/>
      <c r="G474" s="29" t="s">
        <v>13</v>
      </c>
      <c r="H474" s="83">
        <f>(+H475)</f>
        <v>116</v>
      </c>
    </row>
    <row r="475" spans="1:8" ht="12.75" customHeight="1">
      <c r="A475" s="84"/>
      <c r="B475" s="85"/>
      <c r="C475" s="86"/>
      <c r="D475" s="30" t="s">
        <v>484</v>
      </c>
      <c r="E475" s="188" t="s">
        <v>485</v>
      </c>
      <c r="F475" s="189"/>
      <c r="G475" s="31" t="s">
        <v>13</v>
      </c>
      <c r="H475" s="87">
        <f>ROUND(F476,2)</f>
        <v>116</v>
      </c>
    </row>
    <row r="476" spans="1:8" ht="12.75" customHeight="1">
      <c r="A476" s="88"/>
      <c r="B476" s="89"/>
      <c r="C476" s="200"/>
      <c r="D476" s="90"/>
      <c r="E476" s="107" t="s">
        <v>705</v>
      </c>
      <c r="F476" s="179">
        <f>(15+25+10.5+7.5)*2</f>
        <v>116</v>
      </c>
      <c r="G476" s="91"/>
      <c r="H476" s="92"/>
    </row>
    <row r="477" spans="1:8" ht="25.5">
      <c r="A477" s="35">
        <f>MAX(A$2:A476)+1</f>
        <v>85</v>
      </c>
      <c r="B477" s="22" t="s">
        <v>59</v>
      </c>
      <c r="C477" s="11" t="s">
        <v>204</v>
      </c>
      <c r="D477" s="28"/>
      <c r="E477" s="182" t="s">
        <v>205</v>
      </c>
      <c r="F477" s="183"/>
      <c r="G477" s="29" t="s">
        <v>12</v>
      </c>
      <c r="H477" s="70">
        <f>H478</f>
        <v>8013.56</v>
      </c>
    </row>
    <row r="478" spans="1:8" ht="25.5">
      <c r="A478" s="44"/>
      <c r="B478" s="45"/>
      <c r="C478" s="14"/>
      <c r="D478" s="30" t="s">
        <v>206</v>
      </c>
      <c r="E478" s="188" t="s">
        <v>207</v>
      </c>
      <c r="F478" s="189"/>
      <c r="G478" s="31" t="s">
        <v>12</v>
      </c>
      <c r="H478" s="71">
        <f>ROUND(F479,2)</f>
        <v>8013.56</v>
      </c>
    </row>
    <row r="479" spans="1:8" ht="38.25">
      <c r="A479" s="44"/>
      <c r="B479" s="45"/>
      <c r="C479" s="63"/>
      <c r="D479" s="46"/>
      <c r="E479" s="175" t="s">
        <v>461</v>
      </c>
      <c r="F479" s="179">
        <f xml:space="preserve"> 13.12*(35.19+69.48+69.48+69.48+69.48+70.06+77.63+36.34+78.48+35.17)</f>
        <v>8013.5647999999992</v>
      </c>
      <c r="G479" s="47"/>
      <c r="H479" s="106"/>
    </row>
    <row r="480" spans="1:8" ht="30">
      <c r="A480" s="48"/>
      <c r="B480" s="49" t="s">
        <v>390</v>
      </c>
      <c r="C480" s="49"/>
      <c r="D480" s="50"/>
      <c r="E480" s="201" t="s">
        <v>391</v>
      </c>
      <c r="F480" s="178"/>
      <c r="G480" s="47"/>
      <c r="H480" s="70"/>
    </row>
    <row r="481" spans="1:8" ht="25.5">
      <c r="A481" s="35">
        <f>MAX(A$2:A480)+1</f>
        <v>86</v>
      </c>
      <c r="B481" s="22" t="s">
        <v>390</v>
      </c>
      <c r="C481" s="11" t="s">
        <v>488</v>
      </c>
      <c r="D481" s="28"/>
      <c r="E481" s="182" t="s">
        <v>489</v>
      </c>
      <c r="F481" s="183"/>
      <c r="G481" s="29" t="s">
        <v>10</v>
      </c>
      <c r="H481" s="70">
        <f>H482</f>
        <v>4.92</v>
      </c>
    </row>
    <row r="482" spans="1:8" ht="26.25">
      <c r="A482" s="35"/>
      <c r="B482" s="27"/>
      <c r="C482" s="26"/>
      <c r="D482" s="30" t="s">
        <v>488</v>
      </c>
      <c r="E482" s="189" t="s">
        <v>489</v>
      </c>
      <c r="F482" s="189"/>
      <c r="G482" s="31" t="s">
        <v>10</v>
      </c>
      <c r="H482" s="71">
        <f>ROUND(F486,2)</f>
        <v>4.92</v>
      </c>
    </row>
    <row r="483" spans="1:8" ht="12.75" customHeight="1">
      <c r="A483" s="35"/>
      <c r="B483" s="27"/>
      <c r="C483" s="26"/>
      <c r="D483" s="21"/>
      <c r="E483" s="175" t="s">
        <v>535</v>
      </c>
      <c r="F483" s="179">
        <f>(0.5+3.9)*0.15</f>
        <v>0.66</v>
      </c>
      <c r="G483" s="43"/>
      <c r="H483" s="70"/>
    </row>
    <row r="484" spans="1:8" ht="12.75" customHeight="1">
      <c r="A484" s="35"/>
      <c r="B484" s="27"/>
      <c r="C484" s="26"/>
      <c r="D484" s="21"/>
      <c r="E484" s="175" t="s">
        <v>536</v>
      </c>
      <c r="F484" s="179">
        <f>(0.3*16+0.68*15.65)*0.15</f>
        <v>2.3163</v>
      </c>
      <c r="G484" s="43"/>
      <c r="H484" s="70"/>
    </row>
    <row r="485" spans="1:8" ht="12.75" customHeight="1">
      <c r="A485" s="35"/>
      <c r="B485" s="27"/>
      <c r="C485" s="26"/>
      <c r="D485" s="21"/>
      <c r="E485" s="175" t="s">
        <v>478</v>
      </c>
      <c r="F485" s="180">
        <f>1.5*(10.2+7.1)*0.5*0.15</f>
        <v>1.9462499999999996</v>
      </c>
      <c r="G485" s="43"/>
      <c r="H485" s="70"/>
    </row>
    <row r="486" spans="1:8" ht="15">
      <c r="A486" s="48"/>
      <c r="B486" s="51"/>
      <c r="C486" s="49"/>
      <c r="D486" s="50"/>
      <c r="E486" s="181" t="s">
        <v>456</v>
      </c>
      <c r="F486" s="179">
        <f>SUM(F483:F485)</f>
        <v>4.9225499999999993</v>
      </c>
      <c r="G486" s="47"/>
      <c r="H486" s="70"/>
    </row>
    <row r="487" spans="1:8" ht="25.5">
      <c r="A487" s="35">
        <f>MAX(A$2:A486)+1</f>
        <v>87</v>
      </c>
      <c r="B487" s="22" t="s">
        <v>390</v>
      </c>
      <c r="C487" s="11" t="s">
        <v>394</v>
      </c>
      <c r="D487" s="28"/>
      <c r="E487" s="182" t="s">
        <v>395</v>
      </c>
      <c r="F487" s="183"/>
      <c r="G487" s="29" t="s">
        <v>10</v>
      </c>
      <c r="H487" s="70">
        <f>H488</f>
        <v>49.5</v>
      </c>
    </row>
    <row r="488" spans="1:8" ht="12.75" customHeight="1">
      <c r="A488" s="35"/>
      <c r="B488" s="27"/>
      <c r="C488" s="14"/>
      <c r="D488" s="30" t="s">
        <v>394</v>
      </c>
      <c r="E488" s="188" t="s">
        <v>395</v>
      </c>
      <c r="F488" s="189"/>
      <c r="G488" s="31" t="s">
        <v>10</v>
      </c>
      <c r="H488" s="71">
        <f>ROUND(F489,2)</f>
        <v>49.5</v>
      </c>
    </row>
    <row r="489" spans="1:8" ht="12.75" customHeight="1">
      <c r="A489" s="35"/>
      <c r="B489" s="27"/>
      <c r="C489" s="26"/>
      <c r="D489" s="21"/>
      <c r="E489" s="175" t="s">
        <v>397</v>
      </c>
      <c r="F489" s="179">
        <f>(10+10)*11.25*0.22</f>
        <v>49.5</v>
      </c>
      <c r="G489" s="43"/>
      <c r="H489" s="70"/>
    </row>
    <row r="490" spans="1:8" ht="25.5">
      <c r="A490" s="35">
        <f>MAX(A$2:A489)+1</f>
        <v>88</v>
      </c>
      <c r="B490" s="22" t="s">
        <v>390</v>
      </c>
      <c r="C490" s="11" t="s">
        <v>552</v>
      </c>
      <c r="D490" s="28"/>
      <c r="E490" s="182" t="s">
        <v>553</v>
      </c>
      <c r="F490" s="183"/>
      <c r="G490" s="29" t="s">
        <v>10</v>
      </c>
      <c r="H490" s="70">
        <f>H491</f>
        <v>20</v>
      </c>
    </row>
    <row r="491" spans="1:8" ht="25.5">
      <c r="A491" s="35"/>
      <c r="B491" s="27"/>
      <c r="C491" s="14"/>
      <c r="D491" s="30" t="s">
        <v>554</v>
      </c>
      <c r="E491" s="188" t="s">
        <v>555</v>
      </c>
      <c r="F491" s="189"/>
      <c r="G491" s="31" t="s">
        <v>10</v>
      </c>
      <c r="H491" s="71">
        <f>ROUND(F492,2)</f>
        <v>20</v>
      </c>
    </row>
    <row r="492" spans="1:8" ht="12.75" customHeight="1">
      <c r="A492" s="35"/>
      <c r="B492" s="27"/>
      <c r="C492" s="26"/>
      <c r="D492" s="21"/>
      <c r="E492" s="175" t="s">
        <v>556</v>
      </c>
      <c r="F492" s="179">
        <v>20</v>
      </c>
      <c r="G492" s="43"/>
      <c r="H492" s="70"/>
    </row>
    <row r="493" spans="1:8" ht="25.5">
      <c r="A493" s="35">
        <f>MAX(A$2:A492)+1</f>
        <v>89</v>
      </c>
      <c r="B493" s="22" t="s">
        <v>390</v>
      </c>
      <c r="C493" s="11" t="s">
        <v>557</v>
      </c>
      <c r="D493" s="28"/>
      <c r="E493" s="182" t="s">
        <v>558</v>
      </c>
      <c r="F493" s="183"/>
      <c r="G493" s="29" t="s">
        <v>10</v>
      </c>
      <c r="H493" s="70">
        <f>H494</f>
        <v>39.57</v>
      </c>
    </row>
    <row r="494" spans="1:8" ht="25.5">
      <c r="A494" s="35"/>
      <c r="B494" s="27"/>
      <c r="C494" s="14"/>
      <c r="D494" s="30" t="s">
        <v>557</v>
      </c>
      <c r="E494" s="188" t="s">
        <v>558</v>
      </c>
      <c r="F494" s="189"/>
      <c r="G494" s="31" t="s">
        <v>10</v>
      </c>
      <c r="H494" s="71">
        <f>ROUND(F497,2)</f>
        <v>39.57</v>
      </c>
    </row>
    <row r="495" spans="1:8" ht="12.75" customHeight="1">
      <c r="A495" s="35"/>
      <c r="B495" s="27"/>
      <c r="C495" s="26"/>
      <c r="D495" s="21"/>
      <c r="E495" s="175" t="s">
        <v>559</v>
      </c>
      <c r="F495" s="179">
        <f>188.41*0.1</f>
        <v>18.841000000000001</v>
      </c>
      <c r="G495" s="43"/>
      <c r="H495" s="70"/>
    </row>
    <row r="496" spans="1:8" ht="12.75" customHeight="1">
      <c r="A496" s="35"/>
      <c r="B496" s="27"/>
      <c r="C496" s="26"/>
      <c r="D496" s="21"/>
      <c r="E496" s="175" t="s">
        <v>560</v>
      </c>
      <c r="F496" s="180">
        <f>188.41*1.1*0.1</f>
        <v>20.725100000000001</v>
      </c>
      <c r="G496" s="43"/>
      <c r="H496" s="70"/>
    </row>
    <row r="497" spans="1:8" ht="12.75" customHeight="1">
      <c r="A497" s="35"/>
      <c r="B497" s="27"/>
      <c r="C497" s="26"/>
      <c r="D497" s="21"/>
      <c r="E497" s="181" t="s">
        <v>456</v>
      </c>
      <c r="F497" s="179">
        <f>SUM(F495:F496)</f>
        <v>39.566100000000006</v>
      </c>
      <c r="G497" s="43"/>
      <c r="H497" s="70"/>
    </row>
    <row r="498" spans="1:8" ht="25.5">
      <c r="A498" s="35">
        <f>MAX(A$2:A497)+1</f>
        <v>90</v>
      </c>
      <c r="B498" s="22" t="s">
        <v>390</v>
      </c>
      <c r="C498" s="11" t="s">
        <v>392</v>
      </c>
      <c r="D498" s="28"/>
      <c r="E498" s="182" t="s">
        <v>393</v>
      </c>
      <c r="F498" s="183"/>
      <c r="G498" s="29" t="s">
        <v>10</v>
      </c>
      <c r="H498" s="70">
        <f>H499</f>
        <v>57.6</v>
      </c>
    </row>
    <row r="499" spans="1:8" ht="26.25">
      <c r="A499" s="35"/>
      <c r="B499" s="27"/>
      <c r="C499" s="26"/>
      <c r="D499" s="30" t="s">
        <v>392</v>
      </c>
      <c r="E499" s="189" t="s">
        <v>393</v>
      </c>
      <c r="F499" s="189"/>
      <c r="G499" s="31" t="s">
        <v>10</v>
      </c>
      <c r="H499" s="71">
        <f>ROUND(F500,2)</f>
        <v>57.6</v>
      </c>
    </row>
    <row r="500" spans="1:8" ht="25.5">
      <c r="A500" s="35"/>
      <c r="B500" s="27"/>
      <c r="C500" s="26"/>
      <c r="D500" s="21"/>
      <c r="E500" s="175" t="s">
        <v>396</v>
      </c>
      <c r="F500" s="179">
        <f>(12.8+12.8)*11.25*0.2</f>
        <v>57.6</v>
      </c>
      <c r="G500" s="43"/>
      <c r="H500" s="70"/>
    </row>
    <row r="501" spans="1:8" ht="25.5">
      <c r="A501" s="9">
        <f>MAX(A$2:A500)+1</f>
        <v>91</v>
      </c>
      <c r="B501" s="22" t="s">
        <v>390</v>
      </c>
      <c r="C501" s="11" t="s">
        <v>486</v>
      </c>
      <c r="D501" s="28"/>
      <c r="E501" s="182" t="s">
        <v>487</v>
      </c>
      <c r="F501" s="183"/>
      <c r="G501" s="29" t="s">
        <v>10</v>
      </c>
      <c r="H501" s="70">
        <f>H502</f>
        <v>12.18</v>
      </c>
    </row>
    <row r="502" spans="1:8" ht="39">
      <c r="A502" s="35"/>
      <c r="B502" s="27"/>
      <c r="C502" s="26"/>
      <c r="D502" s="30" t="s">
        <v>714</v>
      </c>
      <c r="E502" s="189" t="s">
        <v>715</v>
      </c>
      <c r="F502" s="189"/>
      <c r="G502" s="31" t="s">
        <v>10</v>
      </c>
      <c r="H502" s="71">
        <f>ROUND(F503,2)</f>
        <v>12.18</v>
      </c>
    </row>
    <row r="503" spans="1:8" ht="12.75" customHeight="1">
      <c r="A503" s="35"/>
      <c r="B503" s="27"/>
      <c r="C503" s="26"/>
      <c r="D503" s="21"/>
      <c r="E503" s="175" t="s">
        <v>706</v>
      </c>
      <c r="F503" s="179">
        <f>(15+25+10.5+7.5)*2*0.7*0.15</f>
        <v>12.179999999999998</v>
      </c>
      <c r="G503" s="43"/>
      <c r="H503" s="70"/>
    </row>
    <row r="504" spans="1:8" ht="25.5" customHeight="1">
      <c r="A504" s="9">
        <f>MAX(A$2:A503)+1</f>
        <v>92</v>
      </c>
      <c r="B504" s="22" t="s">
        <v>390</v>
      </c>
      <c r="C504" s="11" t="s">
        <v>398</v>
      </c>
      <c r="D504" s="28"/>
      <c r="E504" s="182" t="s">
        <v>399</v>
      </c>
      <c r="F504" s="183"/>
      <c r="G504" s="29" t="s">
        <v>12</v>
      </c>
      <c r="H504" s="70">
        <f>H505</f>
        <v>307.13</v>
      </c>
    </row>
    <row r="505" spans="1:8" ht="38.25">
      <c r="A505" s="35"/>
      <c r="B505" s="27"/>
      <c r="C505" s="75"/>
      <c r="D505" s="30" t="s">
        <v>401</v>
      </c>
      <c r="E505" s="188" t="s">
        <v>402</v>
      </c>
      <c r="F505" s="189"/>
      <c r="G505" s="31" t="s">
        <v>12</v>
      </c>
      <c r="H505" s="76">
        <f>ROUND(F506,2)</f>
        <v>307.13</v>
      </c>
    </row>
    <row r="506" spans="1:8" ht="12.75" customHeight="1">
      <c r="A506" s="35"/>
      <c r="B506" s="27"/>
      <c r="C506" s="26"/>
      <c r="D506" s="21"/>
      <c r="E506" s="175" t="s">
        <v>400</v>
      </c>
      <c r="F506" s="179">
        <f>(13.65+13.65)*11.25</f>
        <v>307.125</v>
      </c>
      <c r="G506" s="43"/>
      <c r="H506" s="70"/>
    </row>
    <row r="507" spans="1:8" ht="15" customHeight="1">
      <c r="A507" s="9">
        <f>MAX(A$2:A506)+1</f>
        <v>93</v>
      </c>
      <c r="B507" s="22" t="s">
        <v>390</v>
      </c>
      <c r="C507" s="11" t="s">
        <v>468</v>
      </c>
      <c r="D507" s="28"/>
      <c r="E507" s="182" t="s">
        <v>469</v>
      </c>
      <c r="F507" s="183"/>
      <c r="G507" s="29" t="s">
        <v>13</v>
      </c>
      <c r="H507" s="70">
        <f>H508</f>
        <v>1250</v>
      </c>
    </row>
    <row r="508" spans="1:8">
      <c r="A508" s="35"/>
      <c r="B508" s="27"/>
      <c r="C508" s="75"/>
      <c r="D508" s="30" t="s">
        <v>468</v>
      </c>
      <c r="E508" s="188" t="s">
        <v>469</v>
      </c>
      <c r="F508" s="189"/>
      <c r="G508" s="31" t="s">
        <v>13</v>
      </c>
      <c r="H508" s="76">
        <f>F510</f>
        <v>1250</v>
      </c>
    </row>
    <row r="509" spans="1:8" ht="12.75" customHeight="1">
      <c r="A509" s="35"/>
      <c r="B509" s="27"/>
      <c r="C509" s="26"/>
      <c r="D509" s="21"/>
      <c r="E509" s="175" t="s">
        <v>687</v>
      </c>
      <c r="F509" s="179"/>
      <c r="G509" s="43"/>
      <c r="H509" s="70"/>
    </row>
    <row r="510" spans="1:8" ht="12.75" customHeight="1">
      <c r="A510" s="35"/>
      <c r="B510" s="27"/>
      <c r="C510" s="26"/>
      <c r="D510" s="21"/>
      <c r="E510" s="175" t="s">
        <v>686</v>
      </c>
      <c r="F510" s="179">
        <f>625*2</f>
        <v>1250</v>
      </c>
      <c r="G510" s="43"/>
      <c r="H510" s="70"/>
    </row>
    <row r="511" spans="1:8" ht="15">
      <c r="A511" s="48"/>
      <c r="B511" s="49" t="s">
        <v>701</v>
      </c>
      <c r="C511" s="49"/>
      <c r="D511" s="50"/>
      <c r="E511" s="201" t="s">
        <v>702</v>
      </c>
      <c r="F511" s="178"/>
      <c r="G511" s="47"/>
      <c r="H511" s="106"/>
    </row>
    <row r="512" spans="1:8" ht="38.25">
      <c r="A512" s="35">
        <f>MAX(A$2:A511)+1</f>
        <v>94</v>
      </c>
      <c r="B512" s="22" t="s">
        <v>701</v>
      </c>
      <c r="C512" s="121" t="s">
        <v>696</v>
      </c>
      <c r="D512" s="122"/>
      <c r="E512" s="202" t="s">
        <v>697</v>
      </c>
      <c r="F512" s="202"/>
      <c r="G512" s="123" t="s">
        <v>11</v>
      </c>
      <c r="H512" s="70">
        <f>H513</f>
        <v>1</v>
      </c>
    </row>
    <row r="513" spans="1:8" ht="38.25">
      <c r="A513" s="35"/>
      <c r="B513" s="27"/>
      <c r="C513" s="26"/>
      <c r="D513" s="124" t="s">
        <v>698</v>
      </c>
      <c r="E513" s="203" t="s">
        <v>699</v>
      </c>
      <c r="F513" s="203"/>
      <c r="G513" s="125" t="s">
        <v>11</v>
      </c>
      <c r="H513" s="71">
        <f>F514</f>
        <v>1</v>
      </c>
    </row>
    <row r="514" spans="1:8" ht="12.75" customHeight="1">
      <c r="A514" s="44"/>
      <c r="B514" s="45"/>
      <c r="C514" s="26"/>
      <c r="D514" s="20"/>
      <c r="E514" s="175" t="s">
        <v>700</v>
      </c>
      <c r="F514" s="179">
        <v>1</v>
      </c>
      <c r="G514" s="26"/>
      <c r="H514" s="106"/>
    </row>
    <row r="515" spans="1:8" ht="30">
      <c r="A515" s="48"/>
      <c r="B515" s="49" t="s">
        <v>60</v>
      </c>
      <c r="C515" s="49"/>
      <c r="D515" s="50"/>
      <c r="E515" s="201" t="s">
        <v>81</v>
      </c>
      <c r="F515" s="178"/>
      <c r="G515" s="47"/>
      <c r="H515" s="106"/>
    </row>
    <row r="516" spans="1:8" ht="15" customHeight="1">
      <c r="A516" s="9">
        <f>MAX(A$2:A515)+1</f>
        <v>95</v>
      </c>
      <c r="B516" s="194" t="s">
        <v>60</v>
      </c>
      <c r="C516" s="11" t="s">
        <v>319</v>
      </c>
      <c r="D516" s="28"/>
      <c r="E516" s="182" t="s">
        <v>320</v>
      </c>
      <c r="F516" s="183"/>
      <c r="G516" s="29" t="s">
        <v>10</v>
      </c>
      <c r="H516" s="106">
        <f>H517</f>
        <v>16.29</v>
      </c>
    </row>
    <row r="517" spans="1:8" ht="26.25">
      <c r="A517" s="48"/>
      <c r="B517" s="204"/>
      <c r="C517" s="49"/>
      <c r="D517" s="32" t="s">
        <v>321</v>
      </c>
      <c r="E517" s="205" t="s">
        <v>322</v>
      </c>
      <c r="F517" s="205"/>
      <c r="G517" s="37" t="s">
        <v>10</v>
      </c>
      <c r="H517" s="76">
        <f>ROUND(F518,2)</f>
        <v>16.29</v>
      </c>
    </row>
    <row r="518" spans="1:8" ht="12.75" customHeight="1">
      <c r="A518" s="35"/>
      <c r="B518" s="25"/>
      <c r="C518" s="26"/>
      <c r="D518" s="13"/>
      <c r="E518" s="175" t="s">
        <v>323</v>
      </c>
      <c r="F518" s="179">
        <f>5.53*1.15+7.42*0.4+4.33*1.15+4.95*0.4</f>
        <v>16.286999999999999</v>
      </c>
      <c r="G518" s="31"/>
      <c r="H518" s="71"/>
    </row>
    <row r="519" spans="1:8" ht="12.75" customHeight="1">
      <c r="A519" s="10">
        <f>MAX(A$2:A518)+1</f>
        <v>96</v>
      </c>
      <c r="B519" s="33" t="s">
        <v>60</v>
      </c>
      <c r="C519" s="11" t="s">
        <v>92</v>
      </c>
      <c r="D519" s="28"/>
      <c r="E519" s="182" t="s">
        <v>93</v>
      </c>
      <c r="F519" s="183"/>
      <c r="G519" s="29" t="s">
        <v>12</v>
      </c>
      <c r="H519" s="70">
        <f>H520</f>
        <v>63.36</v>
      </c>
    </row>
    <row r="520" spans="1:8" ht="12.75" customHeight="1">
      <c r="A520" s="35"/>
      <c r="B520" s="25"/>
      <c r="C520" s="14"/>
      <c r="D520" s="30" t="s">
        <v>94</v>
      </c>
      <c r="E520" s="188" t="s">
        <v>95</v>
      </c>
      <c r="F520" s="189"/>
      <c r="G520" s="31" t="s">
        <v>12</v>
      </c>
      <c r="H520" s="71">
        <f>ROUND(F521,2)</f>
        <v>63.36</v>
      </c>
    </row>
    <row r="521" spans="1:8" ht="12.75" customHeight="1">
      <c r="A521" s="35"/>
      <c r="B521" s="25"/>
      <c r="C521" s="26"/>
      <c r="D521" s="13"/>
      <c r="E521" s="175" t="s">
        <v>324</v>
      </c>
      <c r="F521" s="179">
        <f>(12.95+2.8+9.27+2.06+2.3*2)*2</f>
        <v>63.36</v>
      </c>
      <c r="G521" s="31"/>
      <c r="H521" s="71"/>
    </row>
    <row r="522" spans="1:8" ht="25.5">
      <c r="A522" s="10">
        <f>MAX(A$2:A521)+1</f>
        <v>97</v>
      </c>
      <c r="B522" s="33" t="s">
        <v>60</v>
      </c>
      <c r="C522" s="26" t="s">
        <v>634</v>
      </c>
      <c r="D522" s="13"/>
      <c r="E522" s="182" t="s">
        <v>635</v>
      </c>
      <c r="F522" s="179"/>
      <c r="G522" s="29" t="s">
        <v>16</v>
      </c>
      <c r="H522" s="70">
        <f>H523</f>
        <v>0.53</v>
      </c>
    </row>
    <row r="523" spans="1:8" ht="25.5">
      <c r="A523" s="35"/>
      <c r="B523" s="25"/>
      <c r="C523" s="14"/>
      <c r="D523" s="30" t="s">
        <v>637</v>
      </c>
      <c r="E523" s="188" t="s">
        <v>636</v>
      </c>
      <c r="F523" s="189"/>
      <c r="G523" s="31" t="s">
        <v>16</v>
      </c>
      <c r="H523" s="71">
        <f>ROUND(F524,2)</f>
        <v>0.53</v>
      </c>
    </row>
    <row r="524" spans="1:8" ht="12.75" customHeight="1">
      <c r="A524" s="35"/>
      <c r="B524" s="25"/>
      <c r="C524" s="26"/>
      <c r="D524" s="13"/>
      <c r="E524" s="175" t="s">
        <v>638</v>
      </c>
      <c r="F524" s="179">
        <f xml:space="preserve"> (302.57+230.82)/1000</f>
        <v>0.53339000000000003</v>
      </c>
      <c r="G524" s="31"/>
      <c r="H524" s="71"/>
    </row>
    <row r="525" spans="1:8" ht="25.5">
      <c r="A525" s="10">
        <f>MAX(A$2:A524)+1</f>
        <v>98</v>
      </c>
      <c r="B525" s="33" t="s">
        <v>60</v>
      </c>
      <c r="C525" s="11" t="s">
        <v>40</v>
      </c>
      <c r="D525" s="12"/>
      <c r="E525" s="182" t="s">
        <v>41</v>
      </c>
      <c r="F525" s="182"/>
      <c r="G525" s="29" t="s">
        <v>10</v>
      </c>
      <c r="H525" s="70">
        <f>H526</f>
        <v>2.56</v>
      </c>
    </row>
    <row r="526" spans="1:8" ht="25.5">
      <c r="A526" s="10"/>
      <c r="B526" s="33"/>
      <c r="C526" s="11"/>
      <c r="D526" s="32" t="s">
        <v>96</v>
      </c>
      <c r="E526" s="206" t="s">
        <v>97</v>
      </c>
      <c r="F526" s="205"/>
      <c r="G526" s="37" t="s">
        <v>10</v>
      </c>
      <c r="H526" s="71">
        <f>ROUND(F527,2)</f>
        <v>2.56</v>
      </c>
    </row>
    <row r="527" spans="1:8" ht="12.75" customHeight="1">
      <c r="A527" s="35"/>
      <c r="B527" s="25"/>
      <c r="C527" s="26"/>
      <c r="D527" s="13"/>
      <c r="E527" s="175" t="s">
        <v>604</v>
      </c>
      <c r="F527" s="179">
        <f>(0.42+0.46+0.4+0.5+0.45)*1.15</f>
        <v>2.5644999999999998</v>
      </c>
      <c r="G527" s="31"/>
      <c r="H527" s="71"/>
    </row>
    <row r="528" spans="1:8" ht="25.5">
      <c r="A528" s="9">
        <f>MAX(A$2:A527)+1</f>
        <v>99</v>
      </c>
      <c r="B528" s="33" t="s">
        <v>60</v>
      </c>
      <c r="C528" s="11" t="s">
        <v>42</v>
      </c>
      <c r="D528" s="12"/>
      <c r="E528" s="182" t="s">
        <v>43</v>
      </c>
      <c r="F528" s="182"/>
      <c r="G528" s="29" t="s">
        <v>12</v>
      </c>
      <c r="H528" s="70">
        <f>H529</f>
        <v>4.46</v>
      </c>
    </row>
    <row r="529" spans="1:8" ht="25.5">
      <c r="A529" s="10"/>
      <c r="B529" s="27"/>
      <c r="C529" s="14"/>
      <c r="D529" s="13" t="s">
        <v>44</v>
      </c>
      <c r="E529" s="188" t="s">
        <v>45</v>
      </c>
      <c r="F529" s="188"/>
      <c r="G529" s="31" t="s">
        <v>12</v>
      </c>
      <c r="H529" s="71">
        <f>ROUND(F530,2)</f>
        <v>4.46</v>
      </c>
    </row>
    <row r="530" spans="1:8">
      <c r="A530" s="10"/>
      <c r="B530" s="27"/>
      <c r="C530" s="26"/>
      <c r="D530" s="20"/>
      <c r="E530" s="175" t="s">
        <v>605</v>
      </c>
      <c r="F530" s="179">
        <f>(0.42+0.46+0.4+0.5+0.45)*2</f>
        <v>4.46</v>
      </c>
      <c r="G530" s="43"/>
      <c r="H530" s="70"/>
    </row>
    <row r="531" spans="1:8" ht="15">
      <c r="A531" s="9">
        <f>MAX(A$2:A530)+1</f>
        <v>100</v>
      </c>
      <c r="B531" s="33" t="s">
        <v>60</v>
      </c>
      <c r="C531" s="11" t="s">
        <v>325</v>
      </c>
      <c r="D531" s="28"/>
      <c r="E531" s="182" t="s">
        <v>327</v>
      </c>
      <c r="F531" s="183"/>
      <c r="G531" s="29" t="s">
        <v>10</v>
      </c>
      <c r="H531" s="70">
        <f>H532</f>
        <v>2.68</v>
      </c>
    </row>
    <row r="532" spans="1:8" ht="12.75" customHeight="1">
      <c r="A532" s="10"/>
      <c r="B532" s="27"/>
      <c r="C532" s="14"/>
      <c r="D532" s="30" t="s">
        <v>326</v>
      </c>
      <c r="E532" s="188" t="s">
        <v>328</v>
      </c>
      <c r="F532" s="189"/>
      <c r="G532" s="31" t="s">
        <v>10</v>
      </c>
      <c r="H532" s="71">
        <f>ROUND(F533,2)</f>
        <v>2.68</v>
      </c>
    </row>
    <row r="533" spans="1:8">
      <c r="A533" s="10"/>
      <c r="B533" s="27"/>
      <c r="C533" s="26"/>
      <c r="D533" s="20"/>
      <c r="E533" s="175" t="s">
        <v>329</v>
      </c>
      <c r="F533" s="179">
        <f>(0.4+0.46+0.42+0.45+0.5)*1.2</f>
        <v>2.6759999999999997</v>
      </c>
      <c r="G533" s="43"/>
      <c r="H533" s="70"/>
    </row>
    <row r="534" spans="1:8" ht="12.75" customHeight="1">
      <c r="A534" s="9">
        <f>MAX(A$2:A533)+1</f>
        <v>101</v>
      </c>
      <c r="B534" s="33" t="s">
        <v>60</v>
      </c>
      <c r="C534" s="11" t="s">
        <v>64</v>
      </c>
      <c r="D534" s="28"/>
      <c r="E534" s="182" t="s">
        <v>65</v>
      </c>
      <c r="F534" s="183"/>
      <c r="G534" s="29" t="s">
        <v>12</v>
      </c>
      <c r="H534" s="70">
        <f>H535</f>
        <v>53.23</v>
      </c>
    </row>
    <row r="535" spans="1:8" ht="25.5">
      <c r="A535" s="10"/>
      <c r="B535" s="25"/>
      <c r="C535" s="14"/>
      <c r="D535" s="30" t="s">
        <v>66</v>
      </c>
      <c r="E535" s="188" t="s">
        <v>67</v>
      </c>
      <c r="F535" s="189"/>
      <c r="G535" s="31" t="s">
        <v>12</v>
      </c>
      <c r="H535" s="71">
        <f>ROUND(F539,2)</f>
        <v>53.23</v>
      </c>
    </row>
    <row r="536" spans="1:8">
      <c r="A536" s="10"/>
      <c r="B536" s="25"/>
      <c r="C536" s="26"/>
      <c r="D536" s="21"/>
      <c r="E536" s="175" t="s">
        <v>490</v>
      </c>
      <c r="F536" s="179">
        <f>(0.5+3.9)*0.15</f>
        <v>0.66</v>
      </c>
      <c r="G536" s="43"/>
      <c r="H536" s="70"/>
    </row>
    <row r="537" spans="1:8" ht="12.75" customHeight="1">
      <c r="A537" s="10"/>
      <c r="B537" s="25"/>
      <c r="C537" s="26"/>
      <c r="D537" s="21"/>
      <c r="E537" s="175" t="s">
        <v>478</v>
      </c>
      <c r="F537" s="179">
        <f>1.5*(10.2+7.1)*0.5*0.15</f>
        <v>1.9462499999999996</v>
      </c>
      <c r="G537" s="43"/>
      <c r="H537" s="70"/>
    </row>
    <row r="538" spans="1:8" ht="25.5">
      <c r="A538" s="10"/>
      <c r="B538" s="25"/>
      <c r="C538" s="26"/>
      <c r="D538" s="21"/>
      <c r="E538" s="175" t="s">
        <v>474</v>
      </c>
      <c r="F538" s="180">
        <f>1.5*(149+102)*0.1+1.5*(10.2+7.1)*0.5</f>
        <v>50.625</v>
      </c>
      <c r="G538" s="43"/>
      <c r="H538" s="70"/>
    </row>
    <row r="539" spans="1:8">
      <c r="A539" s="10"/>
      <c r="B539" s="25"/>
      <c r="C539" s="26"/>
      <c r="D539" s="21"/>
      <c r="E539" s="181" t="s">
        <v>456</v>
      </c>
      <c r="F539" s="179">
        <f>SUM(F536:F538)</f>
        <v>53.231250000000003</v>
      </c>
      <c r="G539" s="43"/>
      <c r="H539" s="70"/>
    </row>
    <row r="540" spans="1:8" ht="15">
      <c r="A540" s="44"/>
      <c r="B540" s="49" t="s">
        <v>543</v>
      </c>
      <c r="C540" s="49"/>
      <c r="D540" s="50"/>
      <c r="E540" s="201" t="s">
        <v>544</v>
      </c>
      <c r="F540" s="178"/>
      <c r="G540" s="47"/>
      <c r="H540" s="106"/>
    </row>
    <row r="541" spans="1:8" ht="15">
      <c r="A541" s="9">
        <f>MAX(A$2:A536)+1</f>
        <v>102</v>
      </c>
      <c r="B541" s="33" t="s">
        <v>543</v>
      </c>
      <c r="C541" s="11" t="s">
        <v>545</v>
      </c>
      <c r="D541" s="28"/>
      <c r="E541" s="182" t="s">
        <v>546</v>
      </c>
      <c r="F541" s="183"/>
      <c r="G541" s="29" t="s">
        <v>13</v>
      </c>
      <c r="H541" s="70">
        <f>H542</f>
        <v>20</v>
      </c>
    </row>
    <row r="542" spans="1:8">
      <c r="A542" s="10"/>
      <c r="B542" s="25"/>
      <c r="C542" s="14"/>
      <c r="D542" s="30" t="s">
        <v>545</v>
      </c>
      <c r="E542" s="188" t="s">
        <v>546</v>
      </c>
      <c r="F542" s="189"/>
      <c r="G542" s="31" t="s">
        <v>13</v>
      </c>
      <c r="H542" s="71">
        <f>ROUND(F543,2)</f>
        <v>20</v>
      </c>
    </row>
    <row r="543" spans="1:8">
      <c r="A543" s="10"/>
      <c r="B543" s="25"/>
      <c r="C543" s="26"/>
      <c r="D543" s="21"/>
      <c r="E543" s="175" t="s">
        <v>541</v>
      </c>
      <c r="F543" s="179">
        <v>20</v>
      </c>
      <c r="G543" s="43"/>
      <c r="H543" s="70"/>
    </row>
    <row r="544" spans="1:8" ht="15">
      <c r="A544" s="44"/>
      <c r="B544" s="49" t="s">
        <v>415</v>
      </c>
      <c r="C544" s="49"/>
      <c r="D544" s="50"/>
      <c r="E544" s="201" t="s">
        <v>416</v>
      </c>
      <c r="F544" s="178"/>
      <c r="G544" s="47"/>
      <c r="H544" s="106"/>
    </row>
    <row r="545" spans="1:8" ht="25.5">
      <c r="A545" s="9">
        <f>MAX(A$2:A542)+1</f>
        <v>103</v>
      </c>
      <c r="B545" s="22" t="s">
        <v>415</v>
      </c>
      <c r="C545" s="11" t="s">
        <v>513</v>
      </c>
      <c r="D545" s="28"/>
      <c r="E545" s="182" t="s">
        <v>514</v>
      </c>
      <c r="F545" s="183"/>
      <c r="G545" s="29" t="s">
        <v>12</v>
      </c>
      <c r="H545" s="70">
        <f>H546+H549</f>
        <v>204.95999999999998</v>
      </c>
    </row>
    <row r="546" spans="1:8" ht="25.5">
      <c r="A546" s="44"/>
      <c r="B546" s="51"/>
      <c r="C546" s="14"/>
      <c r="D546" s="30" t="s">
        <v>515</v>
      </c>
      <c r="E546" s="188" t="s">
        <v>516</v>
      </c>
      <c r="F546" s="189"/>
      <c r="G546" s="31" t="s">
        <v>12</v>
      </c>
      <c r="H546" s="71">
        <f>ROUND(F548,2)</f>
        <v>172.2</v>
      </c>
    </row>
    <row r="547" spans="1:8" ht="12.75" customHeight="1">
      <c r="A547" s="10"/>
      <c r="B547" s="25"/>
      <c r="C547" s="26"/>
      <c r="D547" s="21"/>
      <c r="E547" s="175" t="s">
        <v>727</v>
      </c>
      <c r="F547" s="179"/>
      <c r="G547" s="43"/>
      <c r="H547" s="70"/>
    </row>
    <row r="548" spans="1:8" ht="25.5">
      <c r="A548" s="10"/>
      <c r="B548" s="25"/>
      <c r="C548" s="26"/>
      <c r="D548" s="21"/>
      <c r="E548" s="175" t="s">
        <v>601</v>
      </c>
      <c r="F548" s="179">
        <f>((11.15*7)+(0.32*11.15)+(0.32*7*2))*2</f>
        <v>172.196</v>
      </c>
      <c r="G548" s="43"/>
      <c r="H548" s="70"/>
    </row>
    <row r="549" spans="1:8" ht="12.75" customHeight="1">
      <c r="A549" s="10"/>
      <c r="B549" s="27"/>
      <c r="C549" s="26"/>
      <c r="D549" s="30" t="s">
        <v>518</v>
      </c>
      <c r="E549" s="188" t="s">
        <v>519</v>
      </c>
      <c r="F549" s="189"/>
      <c r="G549" s="31" t="s">
        <v>12</v>
      </c>
      <c r="H549" s="71">
        <f>ROUND(F551,2)</f>
        <v>32.76</v>
      </c>
    </row>
    <row r="550" spans="1:8" ht="12.75" customHeight="1">
      <c r="A550" s="10"/>
      <c r="B550" s="27"/>
      <c r="C550" s="26"/>
      <c r="D550" s="13"/>
      <c r="E550" s="175" t="s">
        <v>517</v>
      </c>
      <c r="F550" s="189"/>
      <c r="G550" s="31"/>
      <c r="H550" s="71"/>
    </row>
    <row r="551" spans="1:8">
      <c r="A551" s="10"/>
      <c r="B551" s="27"/>
      <c r="C551" s="26"/>
      <c r="D551" s="21"/>
      <c r="E551" s="175" t="s">
        <v>602</v>
      </c>
      <c r="F551" s="179">
        <f>(0.5+0.424+0.51)*11.15*2+0.195*4</f>
        <v>32.758200000000002</v>
      </c>
      <c r="G551" s="43"/>
      <c r="H551" s="70"/>
    </row>
    <row r="552" spans="1:8" ht="12.75" customHeight="1">
      <c r="A552" s="9">
        <f>MAX(A$2:A548)+1</f>
        <v>104</v>
      </c>
      <c r="B552" s="22" t="s">
        <v>415</v>
      </c>
      <c r="C552" s="11" t="s">
        <v>417</v>
      </c>
      <c r="D552" s="28"/>
      <c r="E552" s="182" t="s">
        <v>418</v>
      </c>
      <c r="F552" s="183"/>
      <c r="G552" s="29" t="s">
        <v>12</v>
      </c>
      <c r="H552" s="70">
        <f>H553+H555</f>
        <v>9103.7999999999993</v>
      </c>
    </row>
    <row r="553" spans="1:8" ht="25.5">
      <c r="A553" s="10"/>
      <c r="B553" s="25"/>
      <c r="C553" s="14"/>
      <c r="D553" s="30" t="s">
        <v>419</v>
      </c>
      <c r="E553" s="188" t="s">
        <v>420</v>
      </c>
      <c r="F553" s="189"/>
      <c r="G553" s="31" t="s">
        <v>12</v>
      </c>
      <c r="H553" s="71">
        <f>ROUND(F554,2)</f>
        <v>9081.5</v>
      </c>
    </row>
    <row r="554" spans="1:8">
      <c r="A554" s="10"/>
      <c r="B554" s="25"/>
      <c r="C554" s="26"/>
      <c r="D554" s="21"/>
      <c r="E554" s="175" t="s">
        <v>793</v>
      </c>
      <c r="F554" s="179">
        <v>9081.5</v>
      </c>
      <c r="G554" s="43"/>
      <c r="H554" s="70"/>
    </row>
    <row r="555" spans="1:8" ht="25.5">
      <c r="A555" s="10"/>
      <c r="B555" s="25"/>
      <c r="C555" s="26"/>
      <c r="D555" s="30" t="s">
        <v>520</v>
      </c>
      <c r="E555" s="188" t="s">
        <v>521</v>
      </c>
      <c r="F555" s="189"/>
      <c r="G555" s="31" t="s">
        <v>12</v>
      </c>
      <c r="H555" s="71">
        <f>ROUND(F556,2)</f>
        <v>22.3</v>
      </c>
    </row>
    <row r="556" spans="1:8">
      <c r="A556" s="10"/>
      <c r="B556" s="25"/>
      <c r="C556" s="26"/>
      <c r="D556" s="21"/>
      <c r="E556" s="175" t="s">
        <v>522</v>
      </c>
      <c r="F556" s="179">
        <f>11.15*1*2</f>
        <v>22.3</v>
      </c>
      <c r="G556" s="43"/>
      <c r="H556" s="70"/>
    </row>
    <row r="557" spans="1:8" ht="15">
      <c r="A557" s="9">
        <f>MAX(A$2:A553)+1</f>
        <v>105</v>
      </c>
      <c r="B557" s="133" t="s">
        <v>415</v>
      </c>
      <c r="C557" s="11" t="s">
        <v>738</v>
      </c>
      <c r="D557" s="134"/>
      <c r="E557" s="135" t="s">
        <v>739</v>
      </c>
      <c r="F557" s="185"/>
      <c r="G557" s="136" t="s">
        <v>12</v>
      </c>
      <c r="H557" s="83">
        <f>H558</f>
        <v>10.24</v>
      </c>
    </row>
    <row r="558" spans="1:8" ht="25.5">
      <c r="A558" s="10"/>
      <c r="B558" s="110"/>
      <c r="C558" s="28"/>
      <c r="D558" s="97" t="s">
        <v>740</v>
      </c>
      <c r="E558" s="137" t="s">
        <v>741</v>
      </c>
      <c r="F558" s="185"/>
      <c r="G558" s="111" t="s">
        <v>12</v>
      </c>
      <c r="H558" s="87">
        <f>ROUND(F560,2)</f>
        <v>10.24</v>
      </c>
    </row>
    <row r="559" spans="1:8">
      <c r="A559" s="10"/>
      <c r="B559" s="25"/>
      <c r="C559" s="26"/>
      <c r="D559" s="21"/>
      <c r="E559" s="175" t="s">
        <v>742</v>
      </c>
      <c r="F559" s="179"/>
      <c r="G559" s="43"/>
      <c r="H559" s="70"/>
    </row>
    <row r="560" spans="1:8">
      <c r="A560" s="10"/>
      <c r="B560" s="25"/>
      <c r="C560" s="26"/>
      <c r="D560" s="21"/>
      <c r="E560" s="175" t="s">
        <v>759</v>
      </c>
      <c r="F560" s="179">
        <f>2*(0.125+0.05)*1.33*22</f>
        <v>10.241</v>
      </c>
      <c r="G560" s="43"/>
      <c r="H560" s="70"/>
    </row>
    <row r="561" spans="1:8" ht="15">
      <c r="A561" s="44"/>
      <c r="B561" s="49" t="s">
        <v>561</v>
      </c>
      <c r="C561" s="49"/>
      <c r="D561" s="50"/>
      <c r="E561" s="201" t="s">
        <v>562</v>
      </c>
      <c r="F561" s="178"/>
      <c r="G561" s="47"/>
      <c r="H561" s="106"/>
    </row>
    <row r="562" spans="1:8" ht="25.5">
      <c r="A562" s="93">
        <f>MAX(A$2:A561)+1</f>
        <v>106</v>
      </c>
      <c r="B562" s="82" t="s">
        <v>561</v>
      </c>
      <c r="C562" s="11" t="s">
        <v>673</v>
      </c>
      <c r="D562" s="28"/>
      <c r="E562" s="182" t="s">
        <v>674</v>
      </c>
      <c r="F562" s="183"/>
      <c r="G562" s="29" t="s">
        <v>10</v>
      </c>
      <c r="H562" s="83">
        <f>H563</f>
        <v>3.52</v>
      </c>
    </row>
    <row r="563" spans="1:8" ht="25.5">
      <c r="A563" s="93"/>
      <c r="B563" s="110"/>
      <c r="C563" s="112"/>
      <c r="D563" s="30" t="s">
        <v>675</v>
      </c>
      <c r="E563" s="188" t="s">
        <v>676</v>
      </c>
      <c r="F563" s="189"/>
      <c r="G563" s="31" t="s">
        <v>10</v>
      </c>
      <c r="H563" s="87">
        <f>ROUND(F565,2)</f>
        <v>3.52</v>
      </c>
    </row>
    <row r="564" spans="1:8">
      <c r="A564" s="72"/>
      <c r="B564" s="27"/>
      <c r="C564" s="26"/>
      <c r="D564" s="97"/>
      <c r="E564" s="100" t="s">
        <v>677</v>
      </c>
      <c r="F564" s="179"/>
      <c r="G564" s="31"/>
      <c r="H564" s="71"/>
    </row>
    <row r="565" spans="1:8">
      <c r="A565" s="10"/>
      <c r="B565" s="25"/>
      <c r="C565" s="26"/>
      <c r="D565" s="21"/>
      <c r="E565" s="175" t="s">
        <v>712</v>
      </c>
      <c r="F565" s="179">
        <f>1.1*1.6*0.5*4</f>
        <v>3.5200000000000005</v>
      </c>
      <c r="G565" s="43"/>
      <c r="H565" s="70"/>
    </row>
    <row r="566" spans="1:8" ht="25.5">
      <c r="A566" s="93">
        <f>MAX(A$2:A565)+1</f>
        <v>107</v>
      </c>
      <c r="B566" s="22" t="s">
        <v>561</v>
      </c>
      <c r="C566" s="11" t="s">
        <v>563</v>
      </c>
      <c r="D566" s="28"/>
      <c r="E566" s="182" t="s">
        <v>564</v>
      </c>
      <c r="F566" s="183"/>
      <c r="G566" s="29" t="s">
        <v>12</v>
      </c>
      <c r="H566" s="70">
        <f>H567</f>
        <v>238.09</v>
      </c>
    </row>
    <row r="567" spans="1:8" ht="25.5">
      <c r="A567" s="10"/>
      <c r="B567" s="25"/>
      <c r="C567" s="14"/>
      <c r="D567" s="30" t="s">
        <v>565</v>
      </c>
      <c r="E567" s="188" t="s">
        <v>566</v>
      </c>
      <c r="F567" s="189"/>
      <c r="G567" s="31" t="s">
        <v>12</v>
      </c>
      <c r="H567" s="71">
        <f>ROUND(F570,2)</f>
        <v>238.09</v>
      </c>
    </row>
    <row r="568" spans="1:8">
      <c r="A568" s="10"/>
      <c r="B568" s="25"/>
      <c r="C568" s="26"/>
      <c r="D568" s="21"/>
      <c r="E568" s="175" t="s">
        <v>567</v>
      </c>
      <c r="F568" s="179">
        <f>188.41*1.2</f>
        <v>226.09199999999998</v>
      </c>
      <c r="G568" s="43"/>
      <c r="H568" s="70"/>
    </row>
    <row r="569" spans="1:8">
      <c r="A569" s="10"/>
      <c r="B569" s="27"/>
      <c r="C569" s="26"/>
      <c r="D569" s="21"/>
      <c r="E569" s="175" t="s">
        <v>713</v>
      </c>
      <c r="F569" s="180">
        <f>1.5*2*4</f>
        <v>12</v>
      </c>
      <c r="G569" s="43"/>
      <c r="H569" s="70"/>
    </row>
    <row r="570" spans="1:8">
      <c r="A570" s="10"/>
      <c r="B570" s="27"/>
      <c r="C570" s="26"/>
      <c r="D570" s="21"/>
      <c r="E570" s="181" t="s">
        <v>456</v>
      </c>
      <c r="F570" s="179">
        <f>SUM(F568:F569)</f>
        <v>238.09199999999998</v>
      </c>
      <c r="G570" s="43"/>
      <c r="H570" s="70"/>
    </row>
    <row r="571" spans="1:8" ht="25.5">
      <c r="A571" s="104">
        <f>MAX(A$2:A566)+1</f>
        <v>108</v>
      </c>
      <c r="B571" s="22" t="s">
        <v>561</v>
      </c>
      <c r="C571" s="11" t="s">
        <v>570</v>
      </c>
      <c r="D571" s="28"/>
      <c r="E571" s="182" t="s">
        <v>571</v>
      </c>
      <c r="F571" s="183"/>
      <c r="G571" s="29" t="s">
        <v>10</v>
      </c>
      <c r="H571" s="70">
        <f>H572</f>
        <v>154</v>
      </c>
    </row>
    <row r="572" spans="1:8" ht="25.5">
      <c r="A572" s="10"/>
      <c r="B572" s="103"/>
      <c r="C572" s="14"/>
      <c r="D572" s="30" t="s">
        <v>572</v>
      </c>
      <c r="E572" s="188" t="s">
        <v>573</v>
      </c>
      <c r="F572" s="189"/>
      <c r="G572" s="31" t="s">
        <v>10</v>
      </c>
      <c r="H572" s="71">
        <f>ROUND(F573,2)</f>
        <v>154</v>
      </c>
    </row>
    <row r="573" spans="1:8" ht="25.5">
      <c r="A573" s="10"/>
      <c r="B573" s="25"/>
      <c r="C573" s="26"/>
      <c r="D573" s="21"/>
      <c r="E573" s="175" t="s">
        <v>729</v>
      </c>
      <c r="F573" s="179">
        <f>2.5*616*2*0.05</f>
        <v>154</v>
      </c>
      <c r="G573" s="43"/>
      <c r="H573" s="70"/>
    </row>
    <row r="574" spans="1:8" ht="25.5">
      <c r="A574" s="104">
        <f>MAX(A$2:A571)+1</f>
        <v>109</v>
      </c>
      <c r="B574" s="22" t="s">
        <v>561</v>
      </c>
      <c r="C574" s="11" t="s">
        <v>574</v>
      </c>
      <c r="D574" s="28"/>
      <c r="E574" s="182" t="s">
        <v>575</v>
      </c>
      <c r="F574" s="183"/>
      <c r="G574" s="29" t="s">
        <v>12</v>
      </c>
      <c r="H574" s="70">
        <f>H575</f>
        <v>3080</v>
      </c>
    </row>
    <row r="575" spans="1:8" ht="38.25">
      <c r="A575" s="10"/>
      <c r="B575" s="25"/>
      <c r="C575" s="26"/>
      <c r="D575" s="30" t="s">
        <v>576</v>
      </c>
      <c r="E575" s="188" t="s">
        <v>577</v>
      </c>
      <c r="F575" s="183"/>
      <c r="G575" s="31" t="s">
        <v>12</v>
      </c>
      <c r="H575" s="71">
        <f>ROUND(F576,2)</f>
        <v>3080</v>
      </c>
    </row>
    <row r="576" spans="1:8" ht="25.5">
      <c r="A576" s="10"/>
      <c r="B576" s="25"/>
      <c r="C576" s="26"/>
      <c r="D576" s="21"/>
      <c r="E576" s="175" t="s">
        <v>730</v>
      </c>
      <c r="F576" s="179">
        <f>2.5*616*2</f>
        <v>3080</v>
      </c>
      <c r="G576" s="43"/>
      <c r="H576" s="70"/>
    </row>
    <row r="577" spans="1:8" ht="15">
      <c r="A577" s="35"/>
      <c r="B577" s="69" t="s">
        <v>662</v>
      </c>
      <c r="C577" s="26"/>
      <c r="D577" s="20"/>
      <c r="E577" s="170" t="s">
        <v>663</v>
      </c>
      <c r="F577" s="169"/>
      <c r="G577" s="43"/>
      <c r="H577" s="70"/>
    </row>
    <row r="578" spans="1:8" ht="25.5">
      <c r="A578" s="93">
        <f>MAX(A$2:A577)+1</f>
        <v>110</v>
      </c>
      <c r="B578" s="82" t="s">
        <v>662</v>
      </c>
      <c r="C578" s="11" t="s">
        <v>664</v>
      </c>
      <c r="D578" s="12"/>
      <c r="E578" s="182" t="s">
        <v>665</v>
      </c>
      <c r="F578" s="199"/>
      <c r="G578" s="29" t="s">
        <v>10</v>
      </c>
      <c r="H578" s="83">
        <f>H579</f>
        <v>8.9600000000000009</v>
      </c>
    </row>
    <row r="579" spans="1:8" ht="25.5">
      <c r="A579" s="93"/>
      <c r="B579" s="95"/>
      <c r="C579" s="101"/>
      <c r="D579" s="13" t="s">
        <v>666</v>
      </c>
      <c r="E579" s="188" t="s">
        <v>667</v>
      </c>
      <c r="F579" s="207"/>
      <c r="G579" s="37" t="s">
        <v>10</v>
      </c>
      <c r="H579" s="87">
        <f>ROUND(F581,2)</f>
        <v>8.9600000000000009</v>
      </c>
    </row>
    <row r="580" spans="1:8">
      <c r="A580" s="72"/>
      <c r="B580" s="25"/>
      <c r="C580" s="113"/>
      <c r="D580" s="97"/>
      <c r="E580" s="100" t="s">
        <v>672</v>
      </c>
      <c r="F580" s="179"/>
      <c r="G580" s="31"/>
      <c r="H580" s="71"/>
    </row>
    <row r="581" spans="1:8">
      <c r="A581" s="72"/>
      <c r="B581" s="25"/>
      <c r="C581" s="113"/>
      <c r="D581" s="97"/>
      <c r="E581" s="100" t="s">
        <v>710</v>
      </c>
      <c r="F581" s="179">
        <f>(1.6*0.4*1.3+1.6*0.25*1.1*2+1.6*0.3*1.1)*4</f>
        <v>8.9600000000000009</v>
      </c>
      <c r="G581" s="31" t="s">
        <v>639</v>
      </c>
      <c r="H581" s="71"/>
    </row>
    <row r="582" spans="1:8" ht="25.5">
      <c r="A582" s="93">
        <f>MAX(A$2:A581)+1</f>
        <v>111</v>
      </c>
      <c r="B582" s="82" t="s">
        <v>662</v>
      </c>
      <c r="C582" s="11" t="s">
        <v>668</v>
      </c>
      <c r="D582" s="28"/>
      <c r="E582" s="182" t="s">
        <v>669</v>
      </c>
      <c r="F582" s="183"/>
      <c r="G582" s="29" t="s">
        <v>12</v>
      </c>
      <c r="H582" s="70">
        <f>H583</f>
        <v>54.08</v>
      </c>
    </row>
    <row r="583" spans="1:8" ht="25.5">
      <c r="A583" s="72"/>
      <c r="B583" s="27"/>
      <c r="C583" s="14"/>
      <c r="D583" s="30" t="s">
        <v>670</v>
      </c>
      <c r="E583" s="188" t="s">
        <v>671</v>
      </c>
      <c r="F583" s="189"/>
      <c r="G583" s="31" t="s">
        <v>12</v>
      </c>
      <c r="H583" s="87">
        <f>ROUND(F584,2)</f>
        <v>54.08</v>
      </c>
    </row>
    <row r="584" spans="1:8" ht="25.5">
      <c r="A584" s="10"/>
      <c r="B584" s="27"/>
      <c r="C584" s="26"/>
      <c r="D584" s="21"/>
      <c r="E584" s="175" t="s">
        <v>711</v>
      </c>
      <c r="F584" s="179">
        <f>(1.6*1.3+1.6*1.1*2*2+1.6*1.1+1.3*1.1+1.1*1.1)*4</f>
        <v>54.080000000000005</v>
      </c>
      <c r="G584" s="43"/>
      <c r="H584" s="70"/>
    </row>
    <row r="585" spans="1:8" ht="15">
      <c r="A585" s="35"/>
      <c r="B585" s="69" t="s">
        <v>743</v>
      </c>
      <c r="C585" s="26"/>
      <c r="D585" s="20"/>
      <c r="E585" s="170" t="s">
        <v>744</v>
      </c>
      <c r="F585" s="169"/>
      <c r="G585" s="43"/>
      <c r="H585" s="70"/>
    </row>
    <row r="586" spans="1:8" ht="25.5">
      <c r="A586" s="93">
        <f>MAX(A$2:A585)+1</f>
        <v>112</v>
      </c>
      <c r="B586" s="82" t="s">
        <v>743</v>
      </c>
      <c r="C586" s="11" t="s">
        <v>745</v>
      </c>
      <c r="D586" s="12"/>
      <c r="E586" s="182" t="s">
        <v>746</v>
      </c>
      <c r="F586" s="199"/>
      <c r="G586" s="29" t="s">
        <v>12</v>
      </c>
      <c r="H586" s="83">
        <f>H587</f>
        <v>9.24</v>
      </c>
    </row>
    <row r="587" spans="1:8" ht="25.5">
      <c r="A587" s="93"/>
      <c r="B587" s="95"/>
      <c r="C587" s="101"/>
      <c r="D587" s="13" t="s">
        <v>745</v>
      </c>
      <c r="E587" s="188" t="s">
        <v>746</v>
      </c>
      <c r="F587" s="207"/>
      <c r="G587" s="37" t="s">
        <v>12</v>
      </c>
      <c r="H587" s="87">
        <f>ROUND(F589,2)</f>
        <v>9.24</v>
      </c>
    </row>
    <row r="588" spans="1:8" ht="25.5">
      <c r="A588" s="10"/>
      <c r="B588" s="27"/>
      <c r="C588" s="26"/>
      <c r="D588" s="21"/>
      <c r="E588" s="175" t="s">
        <v>747</v>
      </c>
      <c r="F588" s="179"/>
      <c r="G588" s="43"/>
      <c r="H588" s="70"/>
    </row>
    <row r="589" spans="1:8">
      <c r="A589" s="10"/>
      <c r="B589" s="27"/>
      <c r="C589" s="26"/>
      <c r="D589" s="21"/>
      <c r="E589" s="175" t="s">
        <v>758</v>
      </c>
      <c r="F589" s="179">
        <f>2*(0.06+0.01)*1*22*3</f>
        <v>9.2399999999999984</v>
      </c>
      <c r="G589" s="43"/>
      <c r="H589" s="70"/>
    </row>
    <row r="590" spans="1:8" ht="15">
      <c r="A590" s="35"/>
      <c r="B590" s="69" t="s">
        <v>462</v>
      </c>
      <c r="C590" s="26"/>
      <c r="D590" s="20"/>
      <c r="E590" s="170" t="s">
        <v>463</v>
      </c>
      <c r="F590" s="169"/>
      <c r="G590" s="43"/>
      <c r="H590" s="70"/>
    </row>
    <row r="591" spans="1:8" ht="25.5">
      <c r="A591" s="93">
        <f>MAX(A$2:A590)+1</f>
        <v>113</v>
      </c>
      <c r="B591" s="22" t="s">
        <v>462</v>
      </c>
      <c r="C591" s="11" t="s">
        <v>640</v>
      </c>
      <c r="D591" s="28"/>
      <c r="E591" s="182" t="s">
        <v>641</v>
      </c>
      <c r="F591" s="183"/>
      <c r="G591" s="29" t="s">
        <v>11</v>
      </c>
      <c r="H591" s="70">
        <f>H592</f>
        <v>13</v>
      </c>
    </row>
    <row r="592" spans="1:8" ht="25.5">
      <c r="A592" s="35"/>
      <c r="B592" s="69"/>
      <c r="C592" s="14"/>
      <c r="D592" s="30" t="s">
        <v>642</v>
      </c>
      <c r="E592" s="188" t="s">
        <v>643</v>
      </c>
      <c r="F592" s="189"/>
      <c r="G592" s="31" t="s">
        <v>11</v>
      </c>
      <c r="H592" s="71">
        <f>F595</f>
        <v>13</v>
      </c>
    </row>
    <row r="593" spans="1:8">
      <c r="A593" s="10"/>
      <c r="B593" s="27"/>
      <c r="C593" s="26"/>
      <c r="D593" s="20"/>
      <c r="E593" s="175" t="s">
        <v>685</v>
      </c>
      <c r="F593" s="179">
        <f>4+3</f>
        <v>7</v>
      </c>
      <c r="G593" s="43"/>
      <c r="H593" s="70"/>
    </row>
    <row r="594" spans="1:8">
      <c r="A594" s="10"/>
      <c r="B594" s="27"/>
      <c r="C594" s="26"/>
      <c r="D594" s="20"/>
      <c r="E594" s="175" t="s">
        <v>728</v>
      </c>
      <c r="F594" s="180">
        <f>2*3</f>
        <v>6</v>
      </c>
      <c r="G594" s="43"/>
      <c r="H594" s="70"/>
    </row>
    <row r="595" spans="1:8">
      <c r="A595" s="10"/>
      <c r="B595" s="27"/>
      <c r="C595" s="26"/>
      <c r="D595" s="20"/>
      <c r="E595" s="175"/>
      <c r="F595" s="179">
        <f>SUM(F593:F594)</f>
        <v>13</v>
      </c>
      <c r="G595" s="43"/>
      <c r="H595" s="70"/>
    </row>
    <row r="596" spans="1:8" ht="15">
      <c r="A596" s="93">
        <f>MAX(A$2:A593)+1</f>
        <v>114</v>
      </c>
      <c r="B596" s="22" t="s">
        <v>462</v>
      </c>
      <c r="C596" s="11" t="s">
        <v>644</v>
      </c>
      <c r="D596" s="28"/>
      <c r="E596" s="182" t="s">
        <v>645</v>
      </c>
      <c r="F596" s="183"/>
      <c r="G596" s="29" t="s">
        <v>12</v>
      </c>
      <c r="H596" s="70">
        <f>H597</f>
        <v>576.98</v>
      </c>
    </row>
    <row r="597" spans="1:8" ht="25.5">
      <c r="A597" s="10"/>
      <c r="B597" s="27"/>
      <c r="C597" s="26"/>
      <c r="D597" s="30" t="s">
        <v>646</v>
      </c>
      <c r="E597" s="188" t="s">
        <v>647</v>
      </c>
      <c r="F597" s="189"/>
      <c r="G597" s="31" t="s">
        <v>12</v>
      </c>
      <c r="H597" s="71">
        <f>ROUND(F601,2)</f>
        <v>576.98</v>
      </c>
    </row>
    <row r="598" spans="1:8">
      <c r="A598" s="10"/>
      <c r="B598" s="27"/>
      <c r="C598" s="26"/>
      <c r="D598" s="20"/>
      <c r="E598" s="175" t="s">
        <v>537</v>
      </c>
      <c r="F598" s="179">
        <f xml:space="preserve"> 623*0.9</f>
        <v>560.70000000000005</v>
      </c>
      <c r="G598" s="43"/>
      <c r="H598" s="70"/>
    </row>
    <row r="599" spans="1:8">
      <c r="A599" s="10"/>
      <c r="B599" s="27"/>
      <c r="C599" s="26"/>
      <c r="D599" s="20"/>
      <c r="E599" s="175" t="s">
        <v>707</v>
      </c>
      <c r="F599" s="179">
        <f>2.2*2*1.85</f>
        <v>8.14</v>
      </c>
      <c r="G599" s="43"/>
      <c r="H599" s="70"/>
    </row>
    <row r="600" spans="1:8">
      <c r="A600" s="10"/>
      <c r="B600" s="27"/>
      <c r="C600" s="26"/>
      <c r="D600" s="20"/>
      <c r="E600" s="175" t="s">
        <v>708</v>
      </c>
      <c r="F600" s="180">
        <f>2.2*2*1.85</f>
        <v>8.14</v>
      </c>
      <c r="G600" s="43"/>
      <c r="H600" s="70"/>
    </row>
    <row r="601" spans="1:8">
      <c r="A601" s="10"/>
      <c r="B601" s="27"/>
      <c r="C601" s="26"/>
      <c r="D601" s="20"/>
      <c r="E601" s="175"/>
      <c r="F601" s="179">
        <f>SUM(F598:F600)</f>
        <v>576.98</v>
      </c>
      <c r="G601" s="43"/>
      <c r="H601" s="70"/>
    </row>
    <row r="602" spans="1:8" ht="15">
      <c r="A602" s="104">
        <f>MAX(A$2:A598)+1</f>
        <v>115</v>
      </c>
      <c r="B602" s="22" t="s">
        <v>462</v>
      </c>
      <c r="C602" s="11" t="s">
        <v>464</v>
      </c>
      <c r="D602" s="28"/>
      <c r="E602" s="182" t="s">
        <v>465</v>
      </c>
      <c r="F602" s="183"/>
      <c r="G602" s="29" t="s">
        <v>12</v>
      </c>
      <c r="H602" s="70">
        <f>H603</f>
        <v>1.4</v>
      </c>
    </row>
    <row r="603" spans="1:8">
      <c r="A603" s="10"/>
      <c r="B603" s="27"/>
      <c r="C603" s="26"/>
      <c r="D603" s="30" t="s">
        <v>466</v>
      </c>
      <c r="E603" s="188" t="s">
        <v>467</v>
      </c>
      <c r="F603" s="189"/>
      <c r="G603" s="31" t="s">
        <v>12</v>
      </c>
      <c r="H603" s="71">
        <f>ROUND(F604,2)</f>
        <v>1.4</v>
      </c>
    </row>
    <row r="604" spans="1:8">
      <c r="A604" s="10"/>
      <c r="B604" s="27"/>
      <c r="C604" s="26"/>
      <c r="D604" s="20"/>
      <c r="E604" s="175" t="s">
        <v>684</v>
      </c>
      <c r="F604" s="179">
        <f>1*0.8*1.75</f>
        <v>1.4000000000000001</v>
      </c>
      <c r="G604" s="43"/>
      <c r="H604" s="70"/>
    </row>
    <row r="605" spans="1:8" ht="15">
      <c r="A605" s="44"/>
      <c r="B605" s="49" t="s">
        <v>80</v>
      </c>
      <c r="C605" s="49"/>
      <c r="D605" s="50"/>
      <c r="E605" s="201" t="s">
        <v>82</v>
      </c>
      <c r="F605" s="178"/>
      <c r="G605" s="47"/>
      <c r="H605" s="106"/>
    </row>
    <row r="606" spans="1:8" ht="25.5">
      <c r="A606" s="9">
        <f>MAX(A$2:A605)+1</f>
        <v>116</v>
      </c>
      <c r="B606" s="22" t="s">
        <v>80</v>
      </c>
      <c r="C606" s="11" t="s">
        <v>104</v>
      </c>
      <c r="D606" s="28"/>
      <c r="E606" s="182" t="s">
        <v>105</v>
      </c>
      <c r="F606" s="183"/>
      <c r="G606" s="29" t="s">
        <v>10</v>
      </c>
      <c r="H606" s="70">
        <f>H607</f>
        <v>22.96</v>
      </c>
    </row>
    <row r="607" spans="1:8" ht="25.5">
      <c r="A607" s="44"/>
      <c r="B607" s="51"/>
      <c r="C607" s="11"/>
      <c r="D607" s="30" t="s">
        <v>106</v>
      </c>
      <c r="E607" s="188" t="s">
        <v>107</v>
      </c>
      <c r="F607" s="183"/>
      <c r="G607" s="31" t="s">
        <v>10</v>
      </c>
      <c r="H607" s="71">
        <f>ROUND(F608,2)</f>
        <v>22.96</v>
      </c>
    </row>
    <row r="608" spans="1:8" ht="25.5">
      <c r="A608" s="10"/>
      <c r="B608" s="27"/>
      <c r="C608" s="26"/>
      <c r="D608" s="13"/>
      <c r="E608" s="175" t="s">
        <v>819</v>
      </c>
      <c r="F608" s="179">
        <f>35*13.12*0.05</f>
        <v>22.96</v>
      </c>
      <c r="G608" s="31"/>
      <c r="H608" s="71"/>
    </row>
    <row r="609" spans="1:13" ht="25.5">
      <c r="A609" s="9">
        <f>MAX(A$2:A608)+1</f>
        <v>117</v>
      </c>
      <c r="B609" s="22" t="s">
        <v>80</v>
      </c>
      <c r="C609" s="11" t="s">
        <v>48</v>
      </c>
      <c r="D609" s="12"/>
      <c r="E609" s="182" t="s">
        <v>49</v>
      </c>
      <c r="F609" s="182"/>
      <c r="G609" s="29" t="s">
        <v>10</v>
      </c>
      <c r="H609" s="70">
        <f>H610</f>
        <v>252.34</v>
      </c>
    </row>
    <row r="610" spans="1:13" ht="25.5">
      <c r="A610" s="10"/>
      <c r="B610" s="27"/>
      <c r="C610" s="26"/>
      <c r="D610" s="13" t="s">
        <v>48</v>
      </c>
      <c r="E610" s="188" t="s">
        <v>49</v>
      </c>
      <c r="F610" s="188"/>
      <c r="G610" s="31" t="s">
        <v>10</v>
      </c>
      <c r="H610" s="71">
        <f>ROUND(F621,2)</f>
        <v>252.34</v>
      </c>
    </row>
    <row r="611" spans="1:13">
      <c r="A611" s="10"/>
      <c r="B611" s="27"/>
      <c r="C611" s="26"/>
      <c r="D611" s="13"/>
      <c r="E611" s="175" t="s">
        <v>430</v>
      </c>
      <c r="F611" s="179"/>
      <c r="G611" s="31"/>
      <c r="H611" s="71"/>
    </row>
    <row r="612" spans="1:13" ht="25.5">
      <c r="A612" s="10"/>
      <c r="B612" s="27"/>
      <c r="C612" s="26"/>
      <c r="D612" s="13"/>
      <c r="E612" s="175" t="s">
        <v>794</v>
      </c>
      <c r="F612" s="179">
        <f>8.2*615.4*0.3*0.02</f>
        <v>30.277679999999997</v>
      </c>
      <c r="G612" s="31"/>
      <c r="H612" s="71"/>
    </row>
    <row r="613" spans="1:13" ht="25.5">
      <c r="A613" s="10"/>
      <c r="B613" s="27"/>
      <c r="C613" s="26"/>
      <c r="D613" s="13"/>
      <c r="E613" s="175" t="s">
        <v>795</v>
      </c>
      <c r="F613" s="208">
        <f>8.2*615.4*0.3*0.05</f>
        <v>75.694199999999995</v>
      </c>
      <c r="G613" s="31"/>
      <c r="H613" s="71"/>
    </row>
    <row r="614" spans="1:13" ht="25.5">
      <c r="A614" s="10"/>
      <c r="B614" s="27"/>
      <c r="C614" s="26"/>
      <c r="D614" s="13"/>
      <c r="E614" s="175" t="s">
        <v>796</v>
      </c>
      <c r="F614" s="180">
        <f>8.2*615.4*0.4*0.07</f>
        <v>141.29584</v>
      </c>
      <c r="G614" s="31"/>
      <c r="H614" s="71"/>
    </row>
    <row r="615" spans="1:13">
      <c r="A615" s="10"/>
      <c r="B615" s="27"/>
      <c r="C615" s="26"/>
      <c r="D615" s="13"/>
      <c r="E615" s="181" t="s">
        <v>216</v>
      </c>
      <c r="F615" s="208">
        <f>SUM(F612:F614)</f>
        <v>247.26772</v>
      </c>
      <c r="G615" s="31"/>
      <c r="H615" s="71"/>
      <c r="M615" s="160"/>
    </row>
    <row r="616" spans="1:13">
      <c r="A616" s="10"/>
      <c r="B616" s="27"/>
      <c r="C616" s="26"/>
      <c r="D616" s="13"/>
      <c r="E616" s="175" t="s">
        <v>431</v>
      </c>
      <c r="F616" s="208"/>
      <c r="G616" s="31"/>
      <c r="H616" s="71"/>
    </row>
    <row r="617" spans="1:13" ht="25.5">
      <c r="A617" s="10"/>
      <c r="B617" s="27"/>
      <c r="C617" s="26"/>
      <c r="D617" s="13"/>
      <c r="E617" s="175" t="s">
        <v>797</v>
      </c>
      <c r="F617" s="208">
        <f>141*0.6*0.02</f>
        <v>1.6919999999999999</v>
      </c>
      <c r="G617" s="31"/>
      <c r="H617" s="71"/>
    </row>
    <row r="618" spans="1:13" ht="25.5">
      <c r="A618" s="10"/>
      <c r="B618" s="27"/>
      <c r="C618" s="26"/>
      <c r="D618" s="13"/>
      <c r="E618" s="175" t="s">
        <v>798</v>
      </c>
      <c r="F618" s="208">
        <f xml:space="preserve"> 141*0.2*0.05</f>
        <v>1.4100000000000001</v>
      </c>
      <c r="G618" s="31"/>
      <c r="H618" s="71"/>
    </row>
    <row r="619" spans="1:13" ht="25.5">
      <c r="A619" s="10"/>
      <c r="B619" s="27"/>
      <c r="C619" s="26"/>
      <c r="D619" s="13"/>
      <c r="E619" s="175" t="s">
        <v>799</v>
      </c>
      <c r="F619" s="180">
        <f xml:space="preserve"> 141*0.2*0.07</f>
        <v>1.9740000000000004</v>
      </c>
      <c r="G619" s="31"/>
      <c r="H619" s="71"/>
    </row>
    <row r="620" spans="1:13">
      <c r="A620" s="10"/>
      <c r="B620" s="27"/>
      <c r="C620" s="26"/>
      <c r="D620" s="13"/>
      <c r="E620" s="181" t="s">
        <v>216</v>
      </c>
      <c r="F620" s="208">
        <f>SUM(F617:F619)</f>
        <v>5.0760000000000005</v>
      </c>
      <c r="G620" s="31"/>
      <c r="H620" s="71"/>
      <c r="M620" s="160"/>
    </row>
    <row r="621" spans="1:13">
      <c r="A621" s="10"/>
      <c r="B621" s="27"/>
      <c r="C621" s="26"/>
      <c r="D621" s="13"/>
      <c r="E621" s="181" t="s">
        <v>456</v>
      </c>
      <c r="F621" s="208">
        <f>F615+F620</f>
        <v>252.34371999999999</v>
      </c>
      <c r="G621" s="31"/>
      <c r="H621" s="71"/>
    </row>
    <row r="622" spans="1:13" ht="25.5">
      <c r="A622" s="9">
        <f>MAX(A$2:A621)+1</f>
        <v>118</v>
      </c>
      <c r="B622" s="22" t="s">
        <v>80</v>
      </c>
      <c r="C622" s="11" t="s">
        <v>46</v>
      </c>
      <c r="D622" s="12"/>
      <c r="E622" s="182" t="s">
        <v>47</v>
      </c>
      <c r="F622" s="182"/>
      <c r="G622" s="29" t="s">
        <v>10</v>
      </c>
      <c r="H622" s="70">
        <f>H623</f>
        <v>12.17</v>
      </c>
    </row>
    <row r="623" spans="1:13" ht="25.5">
      <c r="A623" s="10"/>
      <c r="B623" s="27"/>
      <c r="C623" s="26"/>
      <c r="D623" s="13" t="s">
        <v>46</v>
      </c>
      <c r="E623" s="188" t="s">
        <v>47</v>
      </c>
      <c r="F623" s="188"/>
      <c r="G623" s="31" t="s">
        <v>10</v>
      </c>
      <c r="H623" s="71">
        <f>ROUND(F628,2)</f>
        <v>12.17</v>
      </c>
    </row>
    <row r="624" spans="1:13" ht="12.75" customHeight="1">
      <c r="A624" s="10"/>
      <c r="B624" s="27"/>
      <c r="C624" s="26"/>
      <c r="D624" s="13"/>
      <c r="E624" s="175" t="s">
        <v>433</v>
      </c>
      <c r="F624" s="179"/>
      <c r="G624" s="31"/>
      <c r="H624" s="71"/>
    </row>
    <row r="625" spans="1:13" ht="12.75" customHeight="1">
      <c r="A625" s="10"/>
      <c r="B625" s="27"/>
      <c r="C625" s="26"/>
      <c r="D625" s="13"/>
      <c r="E625" s="175" t="s">
        <v>800</v>
      </c>
      <c r="F625" s="179">
        <f>338*0.6*0.02</f>
        <v>4.056</v>
      </c>
      <c r="G625" s="31"/>
      <c r="H625" s="71"/>
    </row>
    <row r="626" spans="1:13">
      <c r="A626" s="10"/>
      <c r="B626" s="27"/>
      <c r="C626" s="26"/>
      <c r="D626" s="20"/>
      <c r="E626" s="175" t="s">
        <v>801</v>
      </c>
      <c r="F626" s="179">
        <f>338*0.2*0.05</f>
        <v>3.3800000000000008</v>
      </c>
      <c r="G626" s="43"/>
      <c r="H626" s="70"/>
    </row>
    <row r="627" spans="1:13">
      <c r="A627" s="10"/>
      <c r="B627" s="27"/>
      <c r="C627" s="26"/>
      <c r="D627" s="20"/>
      <c r="E627" s="175" t="s">
        <v>802</v>
      </c>
      <c r="F627" s="180">
        <f>338*0.2*0.07</f>
        <v>4.7320000000000011</v>
      </c>
      <c r="G627" s="43"/>
      <c r="H627" s="70"/>
    </row>
    <row r="628" spans="1:13">
      <c r="A628" s="10"/>
      <c r="B628" s="27"/>
      <c r="C628" s="26"/>
      <c r="D628" s="20"/>
      <c r="E628" s="181" t="s">
        <v>456</v>
      </c>
      <c r="F628" s="179">
        <f>SUM(F625:F627)</f>
        <v>12.168000000000003</v>
      </c>
      <c r="G628" s="43"/>
      <c r="H628" s="70"/>
      <c r="M628" s="160"/>
    </row>
    <row r="629" spans="1:13" ht="25.5">
      <c r="A629" s="9">
        <f>MAX(A$2:A628)+1</f>
        <v>119</v>
      </c>
      <c r="B629" s="22" t="s">
        <v>80</v>
      </c>
      <c r="C629" s="11" t="s">
        <v>102</v>
      </c>
      <c r="D629" s="28"/>
      <c r="E629" s="182" t="s">
        <v>103</v>
      </c>
      <c r="F629" s="182"/>
      <c r="G629" s="29" t="s">
        <v>10</v>
      </c>
      <c r="H629" s="70">
        <f>H630</f>
        <v>203.87</v>
      </c>
    </row>
    <row r="630" spans="1:13" ht="25.5">
      <c r="A630" s="10"/>
      <c r="B630" s="27"/>
      <c r="C630" s="26"/>
      <c r="D630" s="13" t="s">
        <v>102</v>
      </c>
      <c r="E630" s="188" t="s">
        <v>103</v>
      </c>
      <c r="F630" s="188"/>
      <c r="G630" s="31" t="s">
        <v>10</v>
      </c>
      <c r="H630" s="71">
        <f>ROUND(F641,2)</f>
        <v>203.87</v>
      </c>
    </row>
    <row r="631" spans="1:13">
      <c r="A631" s="10"/>
      <c r="B631" s="27"/>
      <c r="C631" s="26"/>
      <c r="D631" s="13"/>
      <c r="E631" s="175" t="s">
        <v>432</v>
      </c>
      <c r="F631" s="188"/>
      <c r="G631" s="31"/>
      <c r="H631" s="71"/>
    </row>
    <row r="632" spans="1:13" ht="25.5">
      <c r="A632" s="10"/>
      <c r="B632" s="27"/>
      <c r="C632" s="26"/>
      <c r="D632" s="13"/>
      <c r="E632" s="175" t="s">
        <v>803</v>
      </c>
      <c r="F632" s="179">
        <f>4.87*615.4*0.6*0.02</f>
        <v>35.963975999999995</v>
      </c>
      <c r="G632" s="31"/>
      <c r="H632" s="71"/>
    </row>
    <row r="633" spans="1:13" ht="25.5">
      <c r="A633" s="10"/>
      <c r="B633" s="27"/>
      <c r="C633" s="26"/>
      <c r="D633" s="13"/>
      <c r="E633" s="175" t="s">
        <v>804</v>
      </c>
      <c r="F633" s="179">
        <f>4.87*615.4*0.2*0.05</f>
        <v>29.969980000000007</v>
      </c>
      <c r="G633" s="31"/>
      <c r="H633" s="71"/>
    </row>
    <row r="634" spans="1:13" ht="25.5">
      <c r="A634" s="10"/>
      <c r="B634" s="27"/>
      <c r="C634" s="26"/>
      <c r="D634" s="20"/>
      <c r="E634" s="175" t="s">
        <v>805</v>
      </c>
      <c r="F634" s="24">
        <f>4.87*615.4*0.2*0.07</f>
        <v>41.957972000000012</v>
      </c>
      <c r="G634" s="43"/>
      <c r="H634" s="70"/>
    </row>
    <row r="635" spans="1:13">
      <c r="A635" s="10"/>
      <c r="B635" s="27"/>
      <c r="C635" s="26"/>
      <c r="D635" s="20"/>
      <c r="E635" s="181" t="s">
        <v>216</v>
      </c>
      <c r="F635" s="179">
        <f>SUM(F632:F634)</f>
        <v>107.89192800000001</v>
      </c>
      <c r="G635" s="43"/>
      <c r="H635" s="70"/>
      <c r="M635" s="160"/>
    </row>
    <row r="636" spans="1:13">
      <c r="A636" s="10"/>
      <c r="B636" s="27"/>
      <c r="C636" s="26"/>
      <c r="D636" s="20"/>
      <c r="E636" s="175" t="s">
        <v>433</v>
      </c>
      <c r="F636" s="179"/>
      <c r="G636" s="43"/>
      <c r="H636" s="70"/>
    </row>
    <row r="637" spans="1:13" ht="25.5">
      <c r="A637" s="10"/>
      <c r="B637" s="27"/>
      <c r="C637" s="26"/>
      <c r="D637" s="20"/>
      <c r="E637" s="175" t="s">
        <v>806</v>
      </c>
      <c r="F637" s="179">
        <f>(2636+(5+1.25)*2*0.15*16)*0.6*0.02</f>
        <v>31.991999999999997</v>
      </c>
      <c r="G637" s="43"/>
      <c r="H637" s="70"/>
    </row>
    <row r="638" spans="1:13" ht="25.5">
      <c r="A638" s="10"/>
      <c r="B638" s="27"/>
      <c r="C638" s="26"/>
      <c r="D638" s="20"/>
      <c r="E638" s="175" t="s">
        <v>807</v>
      </c>
      <c r="F638" s="179">
        <f>(2636+(5+1.25)*2*0.15*16)*0.2*0.05</f>
        <v>26.660000000000004</v>
      </c>
      <c r="G638" s="43"/>
      <c r="H638" s="70"/>
    </row>
    <row r="639" spans="1:13" ht="25.5">
      <c r="A639" s="10"/>
      <c r="B639" s="27"/>
      <c r="C639" s="26"/>
      <c r="D639" s="20"/>
      <c r="E639" s="175" t="s">
        <v>808</v>
      </c>
      <c r="F639" s="180">
        <f>(2636+(5+1.25)*2*0.15*16)*0.2*0.07</f>
        <v>37.324000000000005</v>
      </c>
      <c r="G639" s="43"/>
      <c r="H639" s="70"/>
    </row>
    <row r="640" spans="1:13">
      <c r="A640" s="10"/>
      <c r="B640" s="27"/>
      <c r="C640" s="26"/>
      <c r="D640" s="20"/>
      <c r="E640" s="181" t="s">
        <v>216</v>
      </c>
      <c r="F640" s="179">
        <f>SUM(F637:F639)</f>
        <v>95.975999999999999</v>
      </c>
      <c r="G640" s="43"/>
      <c r="H640" s="70"/>
    </row>
    <row r="641" spans="1:8">
      <c r="A641" s="10"/>
      <c r="B641" s="27"/>
      <c r="C641" s="26"/>
      <c r="D641" s="20"/>
      <c r="E641" s="181" t="s">
        <v>456</v>
      </c>
      <c r="F641" s="179">
        <f>F635+F640</f>
        <v>203.86792800000001</v>
      </c>
      <c r="G641" s="43"/>
      <c r="H641" s="70"/>
    </row>
    <row r="642" spans="1:8" ht="30">
      <c r="A642" s="35"/>
      <c r="B642" s="69" t="s">
        <v>61</v>
      </c>
      <c r="C642" s="26"/>
      <c r="D642" s="20"/>
      <c r="E642" s="170" t="s">
        <v>79</v>
      </c>
      <c r="F642" s="169"/>
      <c r="G642" s="43"/>
      <c r="H642" s="70"/>
    </row>
    <row r="643" spans="1:8" ht="15">
      <c r="A643" s="9">
        <f>MAX(A$2:A642)+1</f>
        <v>120</v>
      </c>
      <c r="B643" s="22" t="s">
        <v>61</v>
      </c>
      <c r="C643" s="11" t="s">
        <v>108</v>
      </c>
      <c r="D643" s="28"/>
      <c r="E643" s="182" t="s">
        <v>109</v>
      </c>
      <c r="F643" s="183"/>
      <c r="G643" s="29" t="s">
        <v>12</v>
      </c>
      <c r="H643" s="70">
        <f>H644+H647</f>
        <v>173.18</v>
      </c>
    </row>
    <row r="644" spans="1:8" ht="15">
      <c r="A644" s="35"/>
      <c r="B644" s="45"/>
      <c r="C644" s="26"/>
      <c r="D644" s="30" t="s">
        <v>110</v>
      </c>
      <c r="E644" s="188" t="s">
        <v>111</v>
      </c>
      <c r="F644" s="189"/>
      <c r="G644" s="31" t="s">
        <v>12</v>
      </c>
      <c r="H644" s="87">
        <f>ROUND(F646,2)</f>
        <v>86.59</v>
      </c>
    </row>
    <row r="645" spans="1:8" ht="12.75" customHeight="1">
      <c r="A645" s="35"/>
      <c r="B645" s="45"/>
      <c r="C645" s="26"/>
      <c r="D645" s="13"/>
      <c r="E645" s="175" t="s">
        <v>653</v>
      </c>
      <c r="F645" s="189"/>
      <c r="G645" s="31"/>
      <c r="H645" s="71"/>
    </row>
    <row r="646" spans="1:8" ht="12.75" customHeight="1">
      <c r="A646" s="10"/>
      <c r="B646" s="27"/>
      <c r="C646" s="26"/>
      <c r="D646" s="13"/>
      <c r="E646" s="175" t="s">
        <v>652</v>
      </c>
      <c r="F646" s="16">
        <f>13.12*11*0.3*2</f>
        <v>86.591999999999999</v>
      </c>
      <c r="G646" s="31"/>
      <c r="H646" s="71"/>
    </row>
    <row r="647" spans="1:8" ht="12.75" customHeight="1">
      <c r="A647" s="35"/>
      <c r="B647" s="45"/>
      <c r="C647" s="26"/>
      <c r="D647" s="30" t="s">
        <v>112</v>
      </c>
      <c r="E647" s="188" t="s">
        <v>113</v>
      </c>
      <c r="F647" s="189"/>
      <c r="G647" s="31" t="s">
        <v>12</v>
      </c>
      <c r="H647" s="87">
        <f>ROUND(F649,2)</f>
        <v>86.59</v>
      </c>
    </row>
    <row r="648" spans="1:8" ht="12.75" customHeight="1">
      <c r="A648" s="35"/>
      <c r="B648" s="45"/>
      <c r="C648" s="26"/>
      <c r="D648" s="13"/>
      <c r="E648" s="175" t="s">
        <v>147</v>
      </c>
      <c r="F648" s="189"/>
      <c r="G648" s="31"/>
      <c r="H648" s="71"/>
    </row>
    <row r="649" spans="1:8" ht="15">
      <c r="A649" s="35"/>
      <c r="B649" s="45"/>
      <c r="C649" s="26"/>
      <c r="D649" s="21"/>
      <c r="E649" s="175" t="s">
        <v>652</v>
      </c>
      <c r="F649" s="16">
        <f>13.12*11*0.3*2</f>
        <v>86.591999999999999</v>
      </c>
      <c r="G649" s="43"/>
      <c r="H649" s="70"/>
    </row>
    <row r="650" spans="1:8" ht="15">
      <c r="A650" s="9">
        <f>MAX(A$2:A649)+1</f>
        <v>121</v>
      </c>
      <c r="B650" s="22" t="s">
        <v>61</v>
      </c>
      <c r="C650" s="11" t="s">
        <v>114</v>
      </c>
      <c r="D650" s="28"/>
      <c r="E650" s="182" t="s">
        <v>115</v>
      </c>
      <c r="F650" s="183"/>
      <c r="G650" s="29" t="s">
        <v>12</v>
      </c>
      <c r="H650" s="70">
        <f>H651</f>
        <v>86.59</v>
      </c>
    </row>
    <row r="651" spans="1:8" ht="25.5">
      <c r="A651" s="10"/>
      <c r="B651" s="27"/>
      <c r="C651" s="26"/>
      <c r="D651" s="30" t="s">
        <v>116</v>
      </c>
      <c r="E651" s="188" t="s">
        <v>117</v>
      </c>
      <c r="F651" s="189"/>
      <c r="G651" s="31" t="s">
        <v>12</v>
      </c>
      <c r="H651" s="87">
        <f>ROUND(F653,2)</f>
        <v>86.59</v>
      </c>
    </row>
    <row r="652" spans="1:8" ht="12.75" customHeight="1">
      <c r="A652" s="10"/>
      <c r="B652" s="27"/>
      <c r="C652" s="26"/>
      <c r="D652" s="20"/>
      <c r="E652" s="175" t="s">
        <v>148</v>
      </c>
      <c r="F652" s="189"/>
      <c r="G652" s="43"/>
      <c r="H652" s="70"/>
    </row>
    <row r="653" spans="1:8">
      <c r="A653" s="10"/>
      <c r="B653" s="27"/>
      <c r="C653" s="26"/>
      <c r="D653" s="20"/>
      <c r="E653" s="175" t="s">
        <v>652</v>
      </c>
      <c r="F653" s="16">
        <f>13.12*11*0.3*2</f>
        <v>86.591999999999999</v>
      </c>
      <c r="G653" s="43"/>
      <c r="H653" s="70"/>
    </row>
    <row r="654" spans="1:8" ht="15">
      <c r="A654" s="9">
        <f>MAX(A$2:A653)+1</f>
        <v>122</v>
      </c>
      <c r="B654" s="22" t="s">
        <v>61</v>
      </c>
      <c r="C654" s="11" t="s">
        <v>748</v>
      </c>
      <c r="D654" s="28"/>
      <c r="E654" s="182" t="s">
        <v>749</v>
      </c>
      <c r="F654" s="183"/>
      <c r="G654" s="29" t="s">
        <v>12</v>
      </c>
      <c r="H654" s="70">
        <f>H655</f>
        <v>9.24</v>
      </c>
    </row>
    <row r="655" spans="1:8" ht="25.5">
      <c r="A655" s="10"/>
      <c r="B655" s="27"/>
      <c r="C655" s="26"/>
      <c r="D655" s="30" t="s">
        <v>750</v>
      </c>
      <c r="E655" s="188" t="s">
        <v>751</v>
      </c>
      <c r="F655" s="189"/>
      <c r="G655" s="31" t="s">
        <v>12</v>
      </c>
      <c r="H655" s="87">
        <f>ROUND(F657,2)</f>
        <v>9.24</v>
      </c>
    </row>
    <row r="656" spans="1:8" ht="12.75" customHeight="1">
      <c r="A656" s="10"/>
      <c r="B656" s="27"/>
      <c r="C656" s="26"/>
      <c r="D656" s="20"/>
      <c r="E656" s="175" t="s">
        <v>752</v>
      </c>
      <c r="F656" s="189"/>
      <c r="G656" s="43"/>
      <c r="H656" s="70"/>
    </row>
    <row r="657" spans="1:8" ht="12.75" customHeight="1">
      <c r="A657" s="10"/>
      <c r="B657" s="27"/>
      <c r="C657" s="26"/>
      <c r="D657" s="20"/>
      <c r="E657" s="175" t="s">
        <v>758</v>
      </c>
      <c r="F657" s="16">
        <f>2*(0.06+0.01)*1*22*3</f>
        <v>9.2399999999999984</v>
      </c>
      <c r="G657" s="43"/>
      <c r="H657" s="70"/>
    </row>
    <row r="658" spans="1:8" ht="15">
      <c r="A658" s="9">
        <f>MAX(A$2:A657)+1</f>
        <v>123</v>
      </c>
      <c r="B658" s="22" t="s">
        <v>61</v>
      </c>
      <c r="C658" s="11" t="s">
        <v>753</v>
      </c>
      <c r="D658" s="28"/>
      <c r="E658" s="182" t="s">
        <v>754</v>
      </c>
      <c r="F658" s="183"/>
      <c r="G658" s="29" t="s">
        <v>12</v>
      </c>
      <c r="H658" s="70">
        <f>H659</f>
        <v>9.2399999999999984</v>
      </c>
    </row>
    <row r="659" spans="1:8" ht="25.5">
      <c r="A659" s="10"/>
      <c r="B659" s="27"/>
      <c r="C659" s="26"/>
      <c r="D659" s="30" t="s">
        <v>755</v>
      </c>
      <c r="E659" s="188" t="s">
        <v>756</v>
      </c>
      <c r="F659" s="189"/>
      <c r="G659" s="31" t="s">
        <v>12</v>
      </c>
      <c r="H659" s="87">
        <f>F661</f>
        <v>9.2399999999999984</v>
      </c>
    </row>
    <row r="660" spans="1:8" ht="12.75" customHeight="1">
      <c r="A660" s="10"/>
      <c r="B660" s="27"/>
      <c r="C660" s="26"/>
      <c r="D660" s="20"/>
      <c r="E660" s="175" t="s">
        <v>757</v>
      </c>
      <c r="F660" s="189"/>
      <c r="G660" s="43"/>
      <c r="H660" s="70"/>
    </row>
    <row r="661" spans="1:8" ht="12.75" customHeight="1">
      <c r="A661" s="10"/>
      <c r="B661" s="27"/>
      <c r="C661" s="26"/>
      <c r="D661" s="20"/>
      <c r="E661" s="175" t="s">
        <v>758</v>
      </c>
      <c r="F661" s="16">
        <f>2*(0.06+0.01)*1*22*3</f>
        <v>9.2399999999999984</v>
      </c>
      <c r="G661" s="43"/>
      <c r="H661" s="70"/>
    </row>
    <row r="662" spans="1:8" ht="15">
      <c r="A662" s="9">
        <f>MAX(A$2:A661)+1</f>
        <v>124</v>
      </c>
      <c r="B662" s="22" t="s">
        <v>61</v>
      </c>
      <c r="C662" s="11" t="s">
        <v>118</v>
      </c>
      <c r="D662" s="28"/>
      <c r="E662" s="182" t="s">
        <v>119</v>
      </c>
      <c r="F662" s="183"/>
      <c r="G662" s="29" t="s">
        <v>12</v>
      </c>
      <c r="H662" s="70">
        <f>H663</f>
        <v>99.39</v>
      </c>
    </row>
    <row r="663" spans="1:8" ht="25.5">
      <c r="A663" s="93"/>
      <c r="B663" s="95"/>
      <c r="C663" s="96"/>
      <c r="D663" s="97" t="s">
        <v>120</v>
      </c>
      <c r="E663" s="98" t="s">
        <v>121</v>
      </c>
      <c r="F663" s="207"/>
      <c r="G663" s="37" t="s">
        <v>12</v>
      </c>
      <c r="H663" s="87">
        <f>ROUND(F668,2)</f>
        <v>99.39</v>
      </c>
    </row>
    <row r="664" spans="1:8">
      <c r="A664" s="10"/>
      <c r="B664" s="27"/>
      <c r="C664" s="26"/>
      <c r="D664" s="99"/>
      <c r="E664" s="100" t="s">
        <v>491</v>
      </c>
      <c r="F664" s="179"/>
      <c r="G664" s="68"/>
      <c r="H664" s="118"/>
    </row>
    <row r="665" spans="1:8">
      <c r="A665" s="10"/>
      <c r="B665" s="27"/>
      <c r="C665" s="26"/>
      <c r="D665" s="99"/>
      <c r="E665" s="100" t="s">
        <v>492</v>
      </c>
      <c r="F665" s="179"/>
      <c r="G665" s="68"/>
      <c r="H665" s="118"/>
    </row>
    <row r="666" spans="1:8">
      <c r="A666" s="10"/>
      <c r="B666" s="27"/>
      <c r="C666" s="26"/>
      <c r="D666" s="99"/>
      <c r="E666" s="100" t="s">
        <v>493</v>
      </c>
      <c r="F666" s="179">
        <f>(616+10)*0.08</f>
        <v>50.08</v>
      </c>
      <c r="G666" s="68"/>
      <c r="H666" s="118"/>
    </row>
    <row r="667" spans="1:8">
      <c r="A667" s="10"/>
      <c r="B667" s="27"/>
      <c r="C667" s="26"/>
      <c r="D667" s="99"/>
      <c r="E667" s="100" t="s">
        <v>494</v>
      </c>
      <c r="F667" s="180">
        <f>(615.4+1)*0.08</f>
        <v>49.311999999999998</v>
      </c>
      <c r="G667" s="68"/>
      <c r="H667" s="118"/>
    </row>
    <row r="668" spans="1:8">
      <c r="A668" s="10"/>
      <c r="B668" s="27"/>
      <c r="C668" s="26"/>
      <c r="D668" s="99"/>
      <c r="E668" s="102" t="s">
        <v>456</v>
      </c>
      <c r="F668" s="179">
        <f>SUM(F666:F667)</f>
        <v>99.391999999999996</v>
      </c>
      <c r="G668" s="68"/>
      <c r="H668" s="118"/>
    </row>
    <row r="669" spans="1:8" ht="25.5">
      <c r="A669" s="9">
        <f>MAX(A$2:A668)+1</f>
        <v>125</v>
      </c>
      <c r="B669" s="82" t="s">
        <v>61</v>
      </c>
      <c r="C669" s="11" t="s">
        <v>122</v>
      </c>
      <c r="D669" s="209"/>
      <c r="E669" s="82" t="s">
        <v>123</v>
      </c>
      <c r="F669" s="199"/>
      <c r="G669" s="29" t="s">
        <v>12</v>
      </c>
      <c r="H669" s="83">
        <f>H670</f>
        <v>115.25</v>
      </c>
    </row>
    <row r="670" spans="1:8" ht="25.5">
      <c r="A670" s="93"/>
      <c r="B670" s="95"/>
      <c r="C670" s="101"/>
      <c r="D670" s="197" t="s">
        <v>124</v>
      </c>
      <c r="E670" s="98" t="s">
        <v>125</v>
      </c>
      <c r="F670" s="207"/>
      <c r="G670" s="37" t="s">
        <v>12</v>
      </c>
      <c r="H670" s="87">
        <f>ROUND(F685,2)</f>
        <v>115.25</v>
      </c>
    </row>
    <row r="671" spans="1:8">
      <c r="A671" s="10"/>
      <c r="B671" s="27"/>
      <c r="C671" s="26"/>
      <c r="D671" s="99"/>
      <c r="E671" s="100" t="s">
        <v>495</v>
      </c>
      <c r="F671" s="179"/>
      <c r="G671" s="68"/>
      <c r="H671" s="118"/>
    </row>
    <row r="672" spans="1:8">
      <c r="A672" s="10"/>
      <c r="B672" s="27"/>
      <c r="C672" s="26"/>
      <c r="D672" s="99"/>
      <c r="E672" s="100" t="s">
        <v>492</v>
      </c>
      <c r="F672" s="179"/>
      <c r="G672" s="68"/>
      <c r="H672" s="118"/>
    </row>
    <row r="673" spans="1:8">
      <c r="A673" s="10"/>
      <c r="B673" s="27"/>
      <c r="C673" s="26"/>
      <c r="D673" s="99"/>
      <c r="E673" s="100" t="s">
        <v>493</v>
      </c>
      <c r="F673" s="179">
        <f>(616+10)*0.08</f>
        <v>50.08</v>
      </c>
      <c r="G673" s="68"/>
      <c r="H673" s="118"/>
    </row>
    <row r="674" spans="1:8">
      <c r="A674" s="10"/>
      <c r="B674" s="27"/>
      <c r="C674" s="26"/>
      <c r="D674" s="99"/>
      <c r="E674" s="100" t="s">
        <v>494</v>
      </c>
      <c r="F674" s="180">
        <f>(615.4+1)*0.08</f>
        <v>49.311999999999998</v>
      </c>
      <c r="G674" s="68"/>
      <c r="H674" s="118"/>
    </row>
    <row r="675" spans="1:8">
      <c r="A675" s="10"/>
      <c r="B675" s="27"/>
      <c r="C675" s="26"/>
      <c r="D675" s="99"/>
      <c r="E675" s="102" t="s">
        <v>216</v>
      </c>
      <c r="F675" s="179">
        <f>SUM(F673:F674)</f>
        <v>99.391999999999996</v>
      </c>
      <c r="G675" s="68"/>
      <c r="H675" s="118"/>
    </row>
    <row r="676" spans="1:8">
      <c r="A676" s="10"/>
      <c r="B676" s="27"/>
      <c r="C676" s="26"/>
      <c r="D676" s="99"/>
      <c r="E676" s="100" t="s">
        <v>496</v>
      </c>
      <c r="F676" s="179"/>
      <c r="G676" s="68"/>
      <c r="H676" s="118"/>
    </row>
    <row r="677" spans="1:8">
      <c r="A677" s="10"/>
      <c r="B677" s="27"/>
      <c r="C677" s="26"/>
      <c r="D677" s="99"/>
      <c r="E677" s="100" t="s">
        <v>497</v>
      </c>
      <c r="F677" s="179">
        <f>0.96*11*2*0.02</f>
        <v>0.42239999999999994</v>
      </c>
      <c r="G677" s="68"/>
      <c r="H677" s="118"/>
    </row>
    <row r="678" spans="1:8">
      <c r="A678" s="10"/>
      <c r="B678" s="27"/>
      <c r="C678" s="26"/>
      <c r="D678" s="99"/>
      <c r="E678" s="100" t="s">
        <v>498</v>
      </c>
      <c r="F678" s="179">
        <f>1.01*11*2*0.02</f>
        <v>0.44439999999999996</v>
      </c>
      <c r="G678" s="68"/>
      <c r="H678" s="118"/>
    </row>
    <row r="679" spans="1:8">
      <c r="A679" s="10"/>
      <c r="B679" s="27"/>
      <c r="C679" s="26"/>
      <c r="D679" s="99"/>
      <c r="E679" s="100" t="s">
        <v>499</v>
      </c>
      <c r="F679" s="180">
        <f>11*11.75*0.08</f>
        <v>10.34</v>
      </c>
      <c r="G679" s="68"/>
      <c r="H679" s="118"/>
    </row>
    <row r="680" spans="1:8">
      <c r="A680" s="10"/>
      <c r="B680" s="27"/>
      <c r="C680" s="26"/>
      <c r="D680" s="99"/>
      <c r="E680" s="102" t="s">
        <v>216</v>
      </c>
      <c r="F680" s="179">
        <f>SUM(F677:F679)</f>
        <v>11.206799999999999</v>
      </c>
      <c r="G680" s="68"/>
      <c r="H680" s="118"/>
    </row>
    <row r="681" spans="1:8">
      <c r="A681" s="10"/>
      <c r="B681" s="27"/>
      <c r="C681" s="26"/>
      <c r="D681" s="99"/>
      <c r="E681" s="100" t="s">
        <v>500</v>
      </c>
      <c r="F681" s="179"/>
      <c r="G681" s="68"/>
      <c r="H681" s="118"/>
    </row>
    <row r="682" spans="1:8">
      <c r="A682" s="10"/>
      <c r="B682" s="27"/>
      <c r="C682" s="26"/>
      <c r="D682" s="99"/>
      <c r="E682" s="100" t="s">
        <v>582</v>
      </c>
      <c r="F682" s="179">
        <f>0.96*118*0.02</f>
        <v>2.2656000000000001</v>
      </c>
      <c r="G682" s="68"/>
      <c r="H682" s="118"/>
    </row>
    <row r="683" spans="1:8">
      <c r="A683" s="10"/>
      <c r="B683" s="27"/>
      <c r="C683" s="26"/>
      <c r="D683" s="99"/>
      <c r="E683" s="100" t="s">
        <v>583</v>
      </c>
      <c r="F683" s="180">
        <f>1.01*118*0.02</f>
        <v>2.3836000000000004</v>
      </c>
      <c r="G683" s="68"/>
      <c r="H683" s="118"/>
    </row>
    <row r="684" spans="1:8">
      <c r="A684" s="10"/>
      <c r="B684" s="27"/>
      <c r="C684" s="26"/>
      <c r="D684" s="99"/>
      <c r="E684" s="102" t="s">
        <v>216</v>
      </c>
      <c r="F684" s="179">
        <f>SUM(F682:F683)</f>
        <v>4.6492000000000004</v>
      </c>
      <c r="G684" s="68"/>
      <c r="H684" s="118"/>
    </row>
    <row r="685" spans="1:8">
      <c r="A685" s="10"/>
      <c r="B685" s="27"/>
      <c r="C685" s="26"/>
      <c r="D685" s="99"/>
      <c r="E685" s="102" t="s">
        <v>456</v>
      </c>
      <c r="F685" s="179">
        <f>F675+F680+F684</f>
        <v>115.24799999999999</v>
      </c>
      <c r="G685" s="68"/>
      <c r="H685" s="118"/>
    </row>
    <row r="686" spans="1:8" ht="25.5">
      <c r="A686" s="9">
        <f>MAX(A$2:A685)+1</f>
        <v>126</v>
      </c>
      <c r="B686" s="22" t="s">
        <v>61</v>
      </c>
      <c r="C686" s="11" t="s">
        <v>436</v>
      </c>
      <c r="D686" s="94"/>
      <c r="E686" s="82" t="s">
        <v>437</v>
      </c>
      <c r="F686" s="210"/>
      <c r="G686" s="66" t="s">
        <v>12</v>
      </c>
      <c r="H686" s="118">
        <f>H687</f>
        <v>8077.13</v>
      </c>
    </row>
    <row r="687" spans="1:8" ht="25.5">
      <c r="A687" s="10"/>
      <c r="B687" s="27"/>
      <c r="C687" s="26"/>
      <c r="D687" s="30" t="s">
        <v>438</v>
      </c>
      <c r="E687" s="188" t="s">
        <v>439</v>
      </c>
      <c r="F687" s="211"/>
      <c r="G687" s="67" t="s">
        <v>12</v>
      </c>
      <c r="H687" s="119">
        <f>ROUND(F689,2)</f>
        <v>8077.13</v>
      </c>
    </row>
    <row r="688" spans="1:8">
      <c r="A688" s="10"/>
      <c r="B688" s="27"/>
      <c r="C688" s="26"/>
      <c r="D688" s="20"/>
      <c r="E688" s="175" t="s">
        <v>440</v>
      </c>
      <c r="F688" s="179"/>
      <c r="G688" s="68"/>
      <c r="H688" s="118"/>
    </row>
    <row r="689" spans="1:8">
      <c r="A689" s="10"/>
      <c r="B689" s="27"/>
      <c r="C689" s="26"/>
      <c r="D689" s="20"/>
      <c r="E689" s="175" t="s">
        <v>441</v>
      </c>
      <c r="F689" s="179">
        <f>13.125*615.4</f>
        <v>8077.125</v>
      </c>
      <c r="G689" s="68"/>
      <c r="H689" s="118"/>
    </row>
    <row r="690" spans="1:8" ht="25.5">
      <c r="A690" s="9">
        <f>MAX(A$2:A689)+1</f>
        <v>127</v>
      </c>
      <c r="B690" s="22" t="s">
        <v>61</v>
      </c>
      <c r="C690" s="11" t="s">
        <v>501</v>
      </c>
      <c r="D690" s="94"/>
      <c r="E690" s="82" t="s">
        <v>502</v>
      </c>
      <c r="F690" s="210"/>
      <c r="G690" s="66" t="s">
        <v>12</v>
      </c>
      <c r="H690" s="118">
        <f>H691</f>
        <v>1017.71</v>
      </c>
    </row>
    <row r="691" spans="1:8">
      <c r="A691" s="10"/>
      <c r="B691" s="27"/>
      <c r="C691" s="26"/>
      <c r="D691" s="30" t="s">
        <v>503</v>
      </c>
      <c r="E691" s="188" t="s">
        <v>504</v>
      </c>
      <c r="F691" s="211"/>
      <c r="G691" s="67" t="s">
        <v>12</v>
      </c>
      <c r="H691" s="119">
        <f>ROUND(F694,2)</f>
        <v>1017.71</v>
      </c>
    </row>
    <row r="692" spans="1:8" ht="38.25">
      <c r="A692" s="10"/>
      <c r="B692" s="27"/>
      <c r="C692" s="26"/>
      <c r="D692" s="20"/>
      <c r="E692" s="100" t="s">
        <v>505</v>
      </c>
      <c r="F692" s="179">
        <f>0.8*(35.19+69.48+69.48+69.48+69.48+70.06+77.63+36.34+78.488+35.17+2*3)</f>
        <v>493.43839999999994</v>
      </c>
      <c r="G692" s="68"/>
      <c r="H692" s="118"/>
    </row>
    <row r="693" spans="1:8" ht="38.25">
      <c r="A693" s="10"/>
      <c r="B693" s="27"/>
      <c r="C693" s="26"/>
      <c r="D693" s="20"/>
      <c r="E693" s="100" t="s">
        <v>506</v>
      </c>
      <c r="F693" s="180">
        <f>0.85*(35.19+69.48+69.48+69.48+69.48+70.06+77.63+36.34+78.48+35.17+2*3)</f>
        <v>524.27149999999995</v>
      </c>
      <c r="G693" s="68"/>
      <c r="H693" s="118"/>
    </row>
    <row r="694" spans="1:8">
      <c r="A694" s="10"/>
      <c r="B694" s="27"/>
      <c r="C694" s="26"/>
      <c r="D694" s="20"/>
      <c r="E694" s="102" t="s">
        <v>456</v>
      </c>
      <c r="F694" s="179">
        <f>SUM(F692:F693)</f>
        <v>1017.7098999999998</v>
      </c>
      <c r="G694" s="68"/>
      <c r="H694" s="118"/>
    </row>
    <row r="695" spans="1:8" ht="15">
      <c r="A695" s="9">
        <f>MAX(A$2:A694)+1</f>
        <v>128</v>
      </c>
      <c r="B695" s="161" t="s">
        <v>61</v>
      </c>
      <c r="C695" s="11" t="s">
        <v>809</v>
      </c>
      <c r="D695" s="28"/>
      <c r="E695" s="182" t="s">
        <v>810</v>
      </c>
      <c r="F695" s="189"/>
      <c r="G695" s="162" t="s">
        <v>12</v>
      </c>
      <c r="H695" s="118">
        <f>H696</f>
        <v>11188.28</v>
      </c>
    </row>
    <row r="696" spans="1:8">
      <c r="A696" s="10"/>
      <c r="B696" s="55"/>
      <c r="C696" s="75"/>
      <c r="D696" s="147" t="s">
        <v>809</v>
      </c>
      <c r="E696" s="173" t="s">
        <v>810</v>
      </c>
      <c r="F696" s="177"/>
      <c r="G696" s="31" t="s">
        <v>12</v>
      </c>
      <c r="H696" s="119">
        <f>ROUND(F709,2)</f>
        <v>11188.28</v>
      </c>
    </row>
    <row r="697" spans="1:8">
      <c r="A697" s="10"/>
      <c r="B697" s="55"/>
      <c r="C697" s="163"/>
      <c r="D697" s="164"/>
      <c r="E697" s="175" t="s">
        <v>811</v>
      </c>
      <c r="F697" s="165"/>
      <c r="G697" s="31"/>
      <c r="H697" s="118"/>
    </row>
    <row r="698" spans="1:8">
      <c r="A698" s="10"/>
      <c r="B698" s="55"/>
      <c r="C698" s="163"/>
      <c r="D698" s="164"/>
      <c r="E698" s="175" t="s">
        <v>812</v>
      </c>
      <c r="F698" s="165"/>
      <c r="G698" s="31"/>
      <c r="H698" s="118"/>
    </row>
    <row r="699" spans="1:8">
      <c r="A699" s="10"/>
      <c r="B699" s="55"/>
      <c r="C699" s="163"/>
      <c r="D699" s="164"/>
      <c r="E699" s="175" t="s">
        <v>813</v>
      </c>
      <c r="F699" s="165"/>
      <c r="G699" s="67"/>
      <c r="H699" s="118"/>
    </row>
    <row r="700" spans="1:8">
      <c r="A700" s="10"/>
      <c r="B700" s="55"/>
      <c r="C700" s="163"/>
      <c r="D700" s="164"/>
      <c r="E700" s="175" t="s">
        <v>434</v>
      </c>
      <c r="F700" s="179">
        <f>4.87*615.4</f>
        <v>2996.998</v>
      </c>
      <c r="G700" s="67"/>
      <c r="H700" s="118"/>
    </row>
    <row r="701" spans="1:8" ht="15" customHeight="1">
      <c r="A701" s="10"/>
      <c r="B701" s="55"/>
      <c r="C701" s="163"/>
      <c r="D701" s="164"/>
      <c r="E701" s="175" t="s">
        <v>435</v>
      </c>
      <c r="F701" s="191">
        <f>(2636+(5+1.25)*2*0.15*16)</f>
        <v>2666</v>
      </c>
      <c r="G701" s="67"/>
      <c r="H701" s="118"/>
    </row>
    <row r="702" spans="1:8">
      <c r="A702" s="10"/>
      <c r="B702" s="55"/>
      <c r="C702" s="163"/>
      <c r="D702" s="164"/>
      <c r="E702" s="102" t="s">
        <v>216</v>
      </c>
      <c r="F702" s="179">
        <f>SUM(F700:F701)</f>
        <v>5662.9979999999996</v>
      </c>
      <c r="G702" s="67"/>
      <c r="H702" s="118"/>
    </row>
    <row r="703" spans="1:8">
      <c r="A703" s="10"/>
      <c r="B703" s="55"/>
      <c r="C703" s="163"/>
      <c r="D703" s="164"/>
      <c r="E703" s="175" t="s">
        <v>814</v>
      </c>
      <c r="F703" s="179"/>
      <c r="G703" s="67"/>
      <c r="H703" s="118"/>
    </row>
    <row r="704" spans="1:8">
      <c r="A704" s="10"/>
      <c r="B704" s="55"/>
      <c r="C704" s="163"/>
      <c r="D704" s="164"/>
      <c r="E704" s="175" t="s">
        <v>815</v>
      </c>
      <c r="F704" s="179">
        <f>8.2*615.4*1</f>
        <v>5046.28</v>
      </c>
      <c r="G704" s="67"/>
      <c r="H704" s="118"/>
    </row>
    <row r="705" spans="1:8">
      <c r="A705" s="10"/>
      <c r="B705" s="55"/>
      <c r="C705" s="163"/>
      <c r="D705" s="164"/>
      <c r="E705" s="175" t="s">
        <v>816</v>
      </c>
      <c r="F705" s="180">
        <f>141*1</f>
        <v>141</v>
      </c>
      <c r="G705" s="67"/>
      <c r="H705" s="118"/>
    </row>
    <row r="706" spans="1:8">
      <c r="A706" s="10"/>
      <c r="B706" s="55"/>
      <c r="C706" s="163"/>
      <c r="D706" s="164"/>
      <c r="E706" s="102" t="s">
        <v>216</v>
      </c>
      <c r="F706" s="179">
        <f>SUM(F704:F705)</f>
        <v>5187.28</v>
      </c>
      <c r="G706" s="67"/>
      <c r="H706" s="118"/>
    </row>
    <row r="707" spans="1:8">
      <c r="A707" s="10"/>
      <c r="B707" s="55"/>
      <c r="C707" s="163"/>
      <c r="D707" s="164"/>
      <c r="E707" s="175" t="s">
        <v>817</v>
      </c>
      <c r="F707" s="165"/>
      <c r="G707" s="67"/>
      <c r="H707" s="118"/>
    </row>
    <row r="708" spans="1:8">
      <c r="A708" s="10"/>
      <c r="B708" s="55"/>
      <c r="C708" s="163"/>
      <c r="D708" s="164"/>
      <c r="E708" s="175" t="s">
        <v>818</v>
      </c>
      <c r="F708" s="179">
        <f>338*1</f>
        <v>338</v>
      </c>
      <c r="G708" s="67"/>
      <c r="H708" s="118"/>
    </row>
    <row r="709" spans="1:8">
      <c r="A709" s="10"/>
      <c r="B709" s="55"/>
      <c r="C709" s="163"/>
      <c r="D709" s="164"/>
      <c r="E709" s="102" t="s">
        <v>456</v>
      </c>
      <c r="F709" s="179">
        <f>F702+F706+F708</f>
        <v>11188.277999999998</v>
      </c>
      <c r="G709" s="67"/>
      <c r="H709" s="118"/>
    </row>
    <row r="710" spans="1:8" ht="15">
      <c r="A710" s="9">
        <f>MAX(A$2:A709)+1</f>
        <v>129</v>
      </c>
      <c r="B710" s="22" t="s">
        <v>61</v>
      </c>
      <c r="C710" s="11" t="s">
        <v>648</v>
      </c>
      <c r="D710" s="28"/>
      <c r="E710" s="182" t="s">
        <v>649</v>
      </c>
      <c r="F710" s="183"/>
      <c r="G710" s="29" t="s">
        <v>12</v>
      </c>
      <c r="H710" s="118">
        <f>H711</f>
        <v>86.59</v>
      </c>
    </row>
    <row r="711" spans="1:8">
      <c r="A711" s="10"/>
      <c r="B711" s="27"/>
      <c r="C711" s="26"/>
      <c r="D711" s="30" t="s">
        <v>650</v>
      </c>
      <c r="E711" s="188" t="s">
        <v>651</v>
      </c>
      <c r="F711" s="189"/>
      <c r="G711" s="31" t="s">
        <v>12</v>
      </c>
      <c r="H711" s="119">
        <f>ROUND(F712,2)</f>
        <v>86.59</v>
      </c>
    </row>
    <row r="712" spans="1:8">
      <c r="A712" s="10"/>
      <c r="B712" s="27"/>
      <c r="C712" s="26"/>
      <c r="D712" s="20"/>
      <c r="E712" s="100" t="s">
        <v>688</v>
      </c>
      <c r="F712" s="179">
        <f>13.12*11*0.3*2</f>
        <v>86.591999999999999</v>
      </c>
      <c r="G712" s="68"/>
      <c r="H712" s="118"/>
    </row>
    <row r="713" spans="1:8">
      <c r="A713" s="10"/>
      <c r="B713" s="27"/>
      <c r="C713" s="26"/>
      <c r="D713" s="20"/>
      <c r="E713" s="102"/>
      <c r="F713" s="179"/>
      <c r="G713" s="68"/>
      <c r="H713" s="118"/>
    </row>
    <row r="714" spans="1:8">
      <c r="A714" s="10"/>
      <c r="B714" s="27"/>
      <c r="C714" s="26"/>
      <c r="D714" s="20"/>
      <c r="E714" s="102"/>
      <c r="F714" s="179"/>
      <c r="G714" s="68"/>
      <c r="H714" s="118"/>
    </row>
    <row r="715" spans="1:8" ht="16.5" thickBot="1">
      <c r="A715" s="36"/>
      <c r="B715" s="6"/>
      <c r="C715" s="7"/>
      <c r="D715" s="7"/>
      <c r="E715" s="108"/>
      <c r="F715" s="132"/>
      <c r="G715" s="109"/>
      <c r="H715" s="120"/>
    </row>
  </sheetData>
  <mergeCells count="6">
    <mergeCell ref="H6:H7"/>
    <mergeCell ref="A6:A7"/>
    <mergeCell ref="B7:C7"/>
    <mergeCell ref="B6:D6"/>
    <mergeCell ref="E6:F7"/>
    <mergeCell ref="G6:G7"/>
  </mergeCells>
  <pageMargins left="0.43307086614173229" right="0.43307086614173229" top="0.43307086614173229" bottom="0.62992125984251968" header="0.27559055118110237" footer="0.27559055118110237"/>
  <pageSetup paperSize="9" scale="7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069</vt:lpstr>
      <vt:lpstr>'069'!Názvy_tlače</vt:lpstr>
      <vt:lpstr>'069'!Oblasť_tlače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Orbanova</dc:creator>
  <cp:lastModifiedBy>Bielčiková Jarmila</cp:lastModifiedBy>
  <cp:lastPrinted>2024-06-10T05:31:00Z</cp:lastPrinted>
  <dcterms:created xsi:type="dcterms:W3CDTF">2019-04-09T06:44:39Z</dcterms:created>
  <dcterms:modified xsi:type="dcterms:W3CDTF">2024-07-18T13:14:36Z</dcterms:modified>
</cp:coreProperties>
</file>