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kcie\2023\MOSTY - NDS\069\2025\"/>
    </mc:Choice>
  </mc:AlternateContent>
  <xr:revisionPtr revIDLastSave="0" documentId="13_ncr:1_{E83848AC-90D7-427A-80D3-6E3604D8731B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000" sheetId="2" r:id="rId1"/>
    <sheet name="069" sheetId="1" r:id="rId2"/>
  </sheets>
  <definedNames>
    <definedName name="_xlnm.Print_Titles" localSheetId="0">'000'!$5:$6</definedName>
    <definedName name="_xlnm.Print_Titles" localSheetId="1">'069'!$6:$7</definedName>
    <definedName name="_xlnm.Print_Area" localSheetId="1">'069'!$A$1:$H$683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H325" i="1" l="1"/>
  <c r="F121" i="1" l="1"/>
  <c r="F499" i="1"/>
  <c r="F448" i="1"/>
  <c r="F279" i="1"/>
  <c r="F278" i="1"/>
  <c r="F277" i="1"/>
  <c r="F280" i="1" s="1"/>
  <c r="H276" i="1" s="1"/>
  <c r="H275" i="1" s="1"/>
  <c r="F117" i="1"/>
  <c r="F260" i="1" l="1"/>
  <c r="F284" i="1"/>
  <c r="F498" i="1"/>
  <c r="F497" i="1"/>
  <c r="F505" i="1"/>
  <c r="F118" i="1"/>
  <c r="H496" i="1" l="1"/>
  <c r="H495" i="1"/>
  <c r="H323" i="1"/>
  <c r="H322" i="1" s="1"/>
  <c r="F108" i="1"/>
  <c r="F62" i="1"/>
  <c r="H47" i="2"/>
  <c r="H46" i="2" s="1"/>
  <c r="H44" i="2"/>
  <c r="H43" i="2" s="1"/>
  <c r="H40" i="2"/>
  <c r="F38" i="2"/>
  <c r="F37" i="2"/>
  <c r="F35" i="2"/>
  <c r="F34" i="2"/>
  <c r="F33" i="2"/>
  <c r="F32" i="2"/>
  <c r="H26" i="2"/>
  <c r="F25" i="2"/>
  <c r="H24" i="2" s="1"/>
  <c r="H23" i="2" s="1"/>
  <c r="H12" i="2"/>
  <c r="H9" i="2"/>
  <c r="A9" i="2"/>
  <c r="F39" i="2" l="1"/>
  <c r="H31" i="2" s="1"/>
  <c r="H30" i="2" s="1"/>
  <c r="A12" i="2"/>
  <c r="A17" i="2" l="1"/>
  <c r="A20" i="2" l="1"/>
  <c r="A23" i="2" s="1"/>
  <c r="A26" i="2" l="1"/>
  <c r="A30" i="2" s="1"/>
  <c r="A40" i="2" l="1"/>
  <c r="A43" i="2" s="1"/>
  <c r="A46" i="2" s="1"/>
  <c r="F576" i="1" l="1"/>
  <c r="F676" i="1" l="1"/>
  <c r="F673" i="1"/>
  <c r="F672" i="1"/>
  <c r="F669" i="1"/>
  <c r="F668" i="1"/>
  <c r="H575" i="1"/>
  <c r="F670" i="1" l="1"/>
  <c r="F674" i="1"/>
  <c r="F677" i="1" l="1"/>
  <c r="H664" i="1" s="1"/>
  <c r="H663" i="1" s="1"/>
  <c r="F607" i="1"/>
  <c r="F606" i="1"/>
  <c r="F605" i="1"/>
  <c r="F602" i="1"/>
  <c r="F601" i="1"/>
  <c r="F600" i="1"/>
  <c r="F595" i="1"/>
  <c r="F594" i="1"/>
  <c r="F593" i="1"/>
  <c r="F587" i="1"/>
  <c r="F586" i="1"/>
  <c r="F585" i="1"/>
  <c r="F582" i="1"/>
  <c r="F581" i="1"/>
  <c r="F580" i="1"/>
  <c r="F161" i="1" l="1"/>
  <c r="F629" i="1"/>
  <c r="H627" i="1" s="1"/>
  <c r="H626" i="1" s="1"/>
  <c r="F625" i="1"/>
  <c r="H623" i="1" s="1"/>
  <c r="H622" i="1" s="1"/>
  <c r="F557" i="1"/>
  <c r="H555" i="1" s="1"/>
  <c r="F528" i="1"/>
  <c r="F340" i="1"/>
  <c r="H336" i="1" s="1"/>
  <c r="F307" i="1"/>
  <c r="F273" i="1"/>
  <c r="F274" i="1" s="1"/>
  <c r="H271" i="1" s="1"/>
  <c r="F265" i="1"/>
  <c r="F29" i="1"/>
  <c r="F297" i="1"/>
  <c r="F107" i="1"/>
  <c r="H60" i="1"/>
  <c r="H59" i="1" s="1"/>
  <c r="F148" i="1"/>
  <c r="F166" i="1"/>
  <c r="H526" i="1" l="1"/>
  <c r="H525" i="1" s="1"/>
  <c r="H554" i="1"/>
  <c r="F109" i="1"/>
  <c r="F147" i="1" l="1"/>
  <c r="F146" i="1"/>
  <c r="F97" i="1"/>
  <c r="F16" i="1"/>
  <c r="F134" i="1" l="1"/>
  <c r="F407" i="1"/>
  <c r="F402" i="1"/>
  <c r="F163" i="1"/>
  <c r="F369" i="1"/>
  <c r="H259" i="1" l="1"/>
  <c r="F537" i="1"/>
  <c r="F533" i="1"/>
  <c r="H531" i="1" s="1"/>
  <c r="F552" i="1"/>
  <c r="F549" i="1"/>
  <c r="F204" i="1"/>
  <c r="F356" i="1"/>
  <c r="F568" i="1"/>
  <c r="F567" i="1"/>
  <c r="F467" i="1"/>
  <c r="F440" i="1"/>
  <c r="F200" i="1"/>
  <c r="F73" i="1"/>
  <c r="H477" i="1" l="1"/>
  <c r="H355" i="1"/>
  <c r="H354" i="1" s="1"/>
  <c r="F111" i="1"/>
  <c r="F116" i="1"/>
  <c r="F474" i="1" l="1"/>
  <c r="F561" i="1"/>
  <c r="F562" i="1"/>
  <c r="F572" i="1"/>
  <c r="F115" i="1"/>
  <c r="F114" i="1"/>
  <c r="F113" i="1"/>
  <c r="H530" i="1"/>
  <c r="F119" i="1" l="1"/>
  <c r="F563" i="1"/>
  <c r="H560" i="1" s="1"/>
  <c r="H559" i="1" s="1"/>
  <c r="H551" i="1"/>
  <c r="H550" i="1" s="1"/>
  <c r="H547" i="1"/>
  <c r="H546" i="1" s="1"/>
  <c r="H203" i="1"/>
  <c r="H202" i="1" s="1"/>
  <c r="F224" i="1" l="1"/>
  <c r="F621" i="1" l="1"/>
  <c r="H619" i="1" s="1"/>
  <c r="F617" i="1"/>
  <c r="H615" i="1" s="1"/>
  <c r="F614" i="1"/>
  <c r="H612" i="1" s="1"/>
  <c r="F680" i="1"/>
  <c r="H679" i="1" s="1"/>
  <c r="H678" i="1" s="1"/>
  <c r="F50" i="1"/>
  <c r="H611" i="1" l="1"/>
  <c r="F488" i="1"/>
  <c r="H487" i="1" s="1"/>
  <c r="H486" i="1" s="1"/>
  <c r="F138" i="1" l="1"/>
  <c r="H137" i="1" s="1"/>
  <c r="H136" i="1" s="1"/>
  <c r="H326" i="1"/>
  <c r="F494" i="1" l="1"/>
  <c r="F491" i="1"/>
  <c r="F519" i="1" l="1"/>
  <c r="F516" i="1"/>
  <c r="F321" i="1"/>
  <c r="F104" i="1" l="1"/>
  <c r="F103" i="1"/>
  <c r="F102" i="1"/>
  <c r="F101" i="1"/>
  <c r="F100" i="1"/>
  <c r="F99" i="1"/>
  <c r="F98" i="1"/>
  <c r="F96" i="1"/>
  <c r="F47" i="1"/>
  <c r="H45" i="1" s="1"/>
  <c r="H320" i="1" l="1"/>
  <c r="F651" i="1"/>
  <c r="F650" i="1"/>
  <c r="F154" i="1"/>
  <c r="F317" i="1"/>
  <c r="F316" i="1"/>
  <c r="F304" i="1"/>
  <c r="F303" i="1"/>
  <c r="F544" i="1"/>
  <c r="H543" i="1" s="1"/>
  <c r="H542" i="1" s="1"/>
  <c r="F541" i="1"/>
  <c r="H540" i="1" s="1"/>
  <c r="H539" i="1" s="1"/>
  <c r="F435" i="1"/>
  <c r="F536" i="1"/>
  <c r="F460" i="1"/>
  <c r="F459" i="1"/>
  <c r="H455" i="1"/>
  <c r="H454" i="1" s="1"/>
  <c r="F352" i="1"/>
  <c r="F351" i="1"/>
  <c r="H335" i="1"/>
  <c r="H510" i="1"/>
  <c r="H509" i="1" s="1"/>
  <c r="F390" i="1"/>
  <c r="H571" i="1"/>
  <c r="H570" i="1" s="1"/>
  <c r="F566" i="1"/>
  <c r="F538" i="1" l="1"/>
  <c r="H535" i="1" s="1"/>
  <c r="H534" i="1" s="1"/>
  <c r="F353" i="1"/>
  <c r="H349" i="1" s="1"/>
  <c r="H348" i="1" s="1"/>
  <c r="F569" i="1"/>
  <c r="H565" i="1" s="1"/>
  <c r="H564" i="1" s="1"/>
  <c r="F461" i="1"/>
  <c r="H458" i="1" s="1"/>
  <c r="H457" i="1" s="1"/>
  <c r="F447" i="1"/>
  <c r="F180" i="1" l="1"/>
  <c r="F179" i="1"/>
  <c r="F178" i="1"/>
  <c r="F173" i="1"/>
  <c r="H172" i="1" s="1"/>
  <c r="F171" i="1"/>
  <c r="H86" i="1"/>
  <c r="H85" i="1" s="1"/>
  <c r="H52" i="1"/>
  <c r="F81" i="1" l="1"/>
  <c r="H49" i="1" l="1"/>
  <c r="F524" i="1"/>
  <c r="H523" i="1" s="1"/>
  <c r="H517" i="1"/>
  <c r="F416" i="1"/>
  <c r="H514" i="1" l="1"/>
  <c r="H513" i="1" s="1"/>
  <c r="F313" i="1" l="1"/>
  <c r="F312" i="1"/>
  <c r="F661" i="1"/>
  <c r="F660" i="1"/>
  <c r="F318" i="1" l="1"/>
  <c r="F305" i="1"/>
  <c r="F314" i="1"/>
  <c r="F662" i="1"/>
  <c r="H659" i="1" s="1"/>
  <c r="H658" i="1" s="1"/>
  <c r="F647" i="1"/>
  <c r="F646" i="1"/>
  <c r="F645" i="1"/>
  <c r="F642" i="1"/>
  <c r="F641" i="1"/>
  <c r="F635" i="1"/>
  <c r="F634" i="1"/>
  <c r="F308" i="1" l="1"/>
  <c r="H301" i="1" s="1"/>
  <c r="H300" i="1" s="1"/>
  <c r="F319" i="1"/>
  <c r="F636" i="1"/>
  <c r="F652" i="1"/>
  <c r="F648" i="1"/>
  <c r="F643" i="1"/>
  <c r="H631" i="1" l="1"/>
  <c r="H630" i="1" s="1"/>
  <c r="H310" i="1"/>
  <c r="H309" i="1" s="1"/>
  <c r="F653" i="1"/>
  <c r="H638" i="1" s="1"/>
  <c r="H637" i="1" s="1"/>
  <c r="F506" i="1" l="1"/>
  <c r="F507" i="1" s="1"/>
  <c r="H504" i="1" l="1"/>
  <c r="F449" i="1"/>
  <c r="F450" i="1" s="1"/>
  <c r="H466" i="1"/>
  <c r="H465" i="1" s="1"/>
  <c r="H439" i="1"/>
  <c r="H438" i="1" s="1"/>
  <c r="F409" i="1"/>
  <c r="F408" i="1"/>
  <c r="F406" i="1"/>
  <c r="F403" i="1"/>
  <c r="F401" i="1"/>
  <c r="F398" i="1"/>
  <c r="H397" i="1" s="1"/>
  <c r="H396" i="1" s="1"/>
  <c r="F413" i="1"/>
  <c r="H412" i="1" s="1"/>
  <c r="H411" i="1" s="1"/>
  <c r="H48" i="1"/>
  <c r="H472" i="1"/>
  <c r="H471" i="1" s="1"/>
  <c r="F443" i="1"/>
  <c r="H442" i="1" s="1"/>
  <c r="H441" i="1" s="1"/>
  <c r="H446" i="1" l="1"/>
  <c r="H445" i="1" s="1"/>
  <c r="F410" i="1"/>
  <c r="H405" i="1" s="1"/>
  <c r="F404" i="1"/>
  <c r="H400" i="1" s="1"/>
  <c r="H399" i="1" l="1"/>
  <c r="F657" i="1" l="1"/>
  <c r="H655" i="1" s="1"/>
  <c r="H654" i="1" s="1"/>
  <c r="F608" i="1" l="1"/>
  <c r="F588" i="1"/>
  <c r="F436" i="1" l="1"/>
  <c r="H430" i="1"/>
  <c r="H429" i="1" s="1"/>
  <c r="F428" i="1"/>
  <c r="H427" i="1" s="1"/>
  <c r="H426" i="1" s="1"/>
  <c r="F437" i="1" l="1"/>
  <c r="H521" i="1"/>
  <c r="H520" i="1" s="1"/>
  <c r="F375" i="1" l="1"/>
  <c r="H373" i="1" s="1"/>
  <c r="H372" i="1" s="1"/>
  <c r="H476" i="1"/>
  <c r="F395" i="1"/>
  <c r="H394" i="1" s="1"/>
  <c r="F393" i="1"/>
  <c r="H392" i="1" s="1"/>
  <c r="F385" i="1"/>
  <c r="F386" i="1"/>
  <c r="F370" i="1"/>
  <c r="F371" i="1" l="1"/>
  <c r="F387" i="1"/>
  <c r="H383" i="1" s="1"/>
  <c r="H391" i="1"/>
  <c r="F470" i="1" l="1"/>
  <c r="H469" i="1" s="1"/>
  <c r="H468" i="1" s="1"/>
  <c r="F453" i="1"/>
  <c r="F464" i="1"/>
  <c r="H452" i="1" l="1"/>
  <c r="H451" i="1" s="1"/>
  <c r="H463" i="1"/>
  <c r="H462" i="1" s="1"/>
  <c r="H367" i="1"/>
  <c r="H366" i="1" s="1"/>
  <c r="H382" i="1"/>
  <c r="F380" i="1"/>
  <c r="F379" i="1"/>
  <c r="H389" i="1"/>
  <c r="H388" i="1" s="1"/>
  <c r="F333" i="1"/>
  <c r="F332" i="1"/>
  <c r="H328" i="1"/>
  <c r="F334" i="1" l="1"/>
  <c r="H330" i="1" s="1"/>
  <c r="F381" i="1"/>
  <c r="H377" i="1" s="1"/>
  <c r="H376" i="1" s="1"/>
  <c r="F298" i="1"/>
  <c r="H293" i="1"/>
  <c r="H292" i="1" s="1"/>
  <c r="F290" i="1"/>
  <c r="F299" i="1" l="1"/>
  <c r="H296" i="1" s="1"/>
  <c r="H295" i="1" s="1"/>
  <c r="F424" i="1"/>
  <c r="F423" i="1"/>
  <c r="F419" i="1"/>
  <c r="H418" i="1" s="1"/>
  <c r="H417" i="1" s="1"/>
  <c r="F425" i="1" l="1"/>
  <c r="H422" i="1" s="1"/>
  <c r="H421" i="1" s="1"/>
  <c r="H286" i="1"/>
  <c r="H285" i="1" s="1"/>
  <c r="H270" i="1"/>
  <c r="F269" i="1"/>
  <c r="H268" i="1" s="1"/>
  <c r="H267" i="1" s="1"/>
  <c r="F263" i="1"/>
  <c r="F502" i="1"/>
  <c r="H501" i="1" s="1"/>
  <c r="H500" i="1" s="1"/>
  <c r="F266" i="1" l="1"/>
  <c r="H262" i="1" s="1"/>
  <c r="H261" i="1" s="1"/>
  <c r="F485" i="1"/>
  <c r="F482" i="1"/>
  <c r="F364" i="1"/>
  <c r="F153" i="1"/>
  <c r="F346" i="1"/>
  <c r="F345" i="1"/>
  <c r="F347" i="1" l="1"/>
  <c r="H342" i="1" s="1"/>
  <c r="H341" i="1" s="1"/>
  <c r="H282" i="1"/>
  <c r="H281" i="1" s="1"/>
  <c r="H246" i="1" l="1"/>
  <c r="F244" i="1"/>
  <c r="F243" i="1"/>
  <c r="F239" i="1"/>
  <c r="F238" i="1"/>
  <c r="F234" i="1"/>
  <c r="F233" i="1"/>
  <c r="F235" i="1" l="1"/>
  <c r="H232" i="1" s="1"/>
  <c r="H231" i="1" s="1"/>
  <c r="F245" i="1"/>
  <c r="H242" i="1" s="1"/>
  <c r="H241" i="1" s="1"/>
  <c r="F240" i="1"/>
  <c r="H237" i="1" s="1"/>
  <c r="H236" i="1" s="1"/>
  <c r="H258" i="1"/>
  <c r="F256" i="1"/>
  <c r="F255" i="1"/>
  <c r="F257" i="1" l="1"/>
  <c r="H254" i="1" s="1"/>
  <c r="H253" i="1" s="1"/>
  <c r="F252" i="1"/>
  <c r="H251" i="1" s="1"/>
  <c r="F250" i="1"/>
  <c r="H249" i="1" s="1"/>
  <c r="H248" i="1" l="1"/>
  <c r="F209" i="1" l="1"/>
  <c r="F181" i="1"/>
  <c r="F175" i="1"/>
  <c r="H174" i="1" s="1"/>
  <c r="H170" i="1"/>
  <c r="F208" i="1"/>
  <c r="F210" i="1"/>
  <c r="F199" i="1"/>
  <c r="F194" i="1"/>
  <c r="F198" i="1"/>
  <c r="F193" i="1"/>
  <c r="F189" i="1"/>
  <c r="H188" i="1" s="1"/>
  <c r="F186" i="1"/>
  <c r="H185" i="1" s="1"/>
  <c r="F167" i="1"/>
  <c r="F168" i="1" s="1"/>
  <c r="H165" i="1" s="1"/>
  <c r="F162" i="1"/>
  <c r="F164" i="1" s="1"/>
  <c r="F158" i="1"/>
  <c r="H157" i="1" s="1"/>
  <c r="F152" i="1"/>
  <c r="F39" i="1"/>
  <c r="F42" i="1" s="1"/>
  <c r="F36" i="1"/>
  <c r="F35" i="1"/>
  <c r="F34" i="1"/>
  <c r="F201" i="1" l="1"/>
  <c r="H197" i="1" s="1"/>
  <c r="F215" i="1"/>
  <c r="F229" i="1" s="1"/>
  <c r="H228" i="1" s="1"/>
  <c r="H227" i="1" s="1"/>
  <c r="F225" i="1"/>
  <c r="H169" i="1"/>
  <c r="F182" i="1"/>
  <c r="H177" i="1" s="1"/>
  <c r="H176" i="1" s="1"/>
  <c r="F155" i="1"/>
  <c r="H151" i="1" s="1"/>
  <c r="H150" i="1" s="1"/>
  <c r="F195" i="1"/>
  <c r="F211" i="1"/>
  <c r="H206" i="1" s="1"/>
  <c r="H160" i="1"/>
  <c r="H159" i="1" s="1"/>
  <c r="F37" i="1"/>
  <c r="F43" i="1" s="1"/>
  <c r="H32" i="1" s="1"/>
  <c r="H214" i="1" l="1"/>
  <c r="H213" i="1" s="1"/>
  <c r="F218" i="1"/>
  <c r="H217" i="1" s="1"/>
  <c r="H216" i="1" s="1"/>
  <c r="H192" i="1"/>
  <c r="F222" i="1"/>
  <c r="H196" i="1"/>
  <c r="F223" i="1"/>
  <c r="F130" i="1"/>
  <c r="F133" i="1" s="1"/>
  <c r="F127" i="1"/>
  <c r="F126" i="1"/>
  <c r="F125" i="1"/>
  <c r="F226" i="1" l="1"/>
  <c r="F22" i="2" s="1"/>
  <c r="H21" i="2" s="1"/>
  <c r="H20" i="2" s="1"/>
  <c r="F128" i="1"/>
  <c r="F135" i="1" l="1"/>
  <c r="H123" i="1" s="1"/>
  <c r="H220" i="1"/>
  <c r="F70" i="1"/>
  <c r="H68" i="1" s="1"/>
  <c r="H67" i="1" s="1"/>
  <c r="F66" i="1"/>
  <c r="H64" i="1" s="1"/>
  <c r="H63" i="1" s="1"/>
  <c r="F145" i="1"/>
  <c r="F149" i="1" s="1"/>
  <c r="H143" i="1" s="1"/>
  <c r="F142" i="1"/>
  <c r="H140" i="1" s="1"/>
  <c r="F90" i="1"/>
  <c r="F83" i="1"/>
  <c r="H139" i="1" l="1"/>
  <c r="F76" i="1"/>
  <c r="H75" i="1" s="1"/>
  <c r="H74" i="1" s="1"/>
  <c r="F80" i="1"/>
  <c r="F84" i="1" s="1"/>
  <c r="F91" i="1"/>
  <c r="F92" i="1" s="1"/>
  <c r="H89" i="1" s="1"/>
  <c r="F18" i="1"/>
  <c r="F19" i="1" s="1"/>
  <c r="H15" i="1" s="1"/>
  <c r="F13" i="1"/>
  <c r="H11" i="1" s="1"/>
  <c r="H10" i="1" s="1"/>
  <c r="F26" i="1"/>
  <c r="F24" i="1"/>
  <c r="H78" i="1" l="1"/>
  <c r="H77" i="1" s="1"/>
  <c r="H72" i="1"/>
  <c r="H71" i="1" s="1"/>
  <c r="F27" i="1"/>
  <c r="F30" i="1" l="1"/>
  <c r="H21" i="1" s="1"/>
  <c r="H20" i="1" s="1"/>
  <c r="H191" i="1" l="1"/>
  <c r="H205" i="1" l="1"/>
  <c r="H219" i="1"/>
  <c r="H618" i="1" l="1"/>
  <c r="H574" i="1"/>
  <c r="F603" i="1"/>
  <c r="F609" i="1" s="1"/>
  <c r="H598" i="1" s="1"/>
  <c r="F596" i="1"/>
  <c r="H591" i="1" s="1"/>
  <c r="F583" i="1"/>
  <c r="F589" i="1" s="1"/>
  <c r="H578" i="1" s="1"/>
  <c r="F105" i="1"/>
  <c r="F19" i="2" l="1"/>
  <c r="H18" i="2" s="1"/>
  <c r="H17" i="2" s="1"/>
  <c r="H434" i="1"/>
  <c r="H415" i="1"/>
  <c r="H414" i="1" s="1"/>
  <c r="H493" i="1"/>
  <c r="H490" i="1"/>
  <c r="H489" i="1" s="1"/>
  <c r="H484" i="1"/>
  <c r="H483" i="1" s="1"/>
  <c r="H481" i="1"/>
  <c r="H480" i="1" s="1"/>
  <c r="H358" i="1"/>
  <c r="H156" i="1" l="1"/>
  <c r="H31" i="1"/>
  <c r="H187" i="1" l="1"/>
  <c r="H51" i="1"/>
  <c r="H433" i="1" l="1"/>
  <c r="H362" i="1" l="1"/>
  <c r="H361" i="1" s="1"/>
  <c r="H503" i="1" l="1"/>
  <c r="H184" i="1" l="1"/>
  <c r="H357" i="1" l="1"/>
  <c r="H590" i="1" l="1"/>
  <c r="H577" i="1"/>
  <c r="H597" i="1"/>
  <c r="H492" i="1" l="1"/>
  <c r="H44" i="1" l="1"/>
  <c r="H14" i="1"/>
  <c r="H88" i="1" l="1"/>
  <c r="H122" i="1"/>
  <c r="A10" i="1" l="1"/>
  <c r="A14" i="1" l="1"/>
  <c r="A20" i="1" s="1"/>
  <c r="A31" i="1" l="1"/>
  <c r="A44" i="1" l="1"/>
  <c r="A48" i="1" l="1"/>
  <c r="A51" i="1" l="1"/>
  <c r="A59" i="1" l="1"/>
  <c r="A63" i="1" s="1"/>
  <c r="A67" i="1"/>
  <c r="A71" i="1" s="1"/>
  <c r="A74" i="1" s="1"/>
  <c r="A77" i="1" s="1"/>
  <c r="A85" i="1" l="1"/>
  <c r="A88" i="1" s="1"/>
  <c r="A93" i="1" s="1"/>
  <c r="A122" i="1" s="1"/>
  <c r="A136" i="1" l="1"/>
  <c r="A139" i="1" l="1"/>
  <c r="A150" i="1" s="1"/>
  <c r="A156" i="1" s="1"/>
  <c r="A159" i="1" s="1"/>
  <c r="A169" i="1" s="1"/>
  <c r="A176" i="1" s="1"/>
  <c r="A184" i="1" l="1"/>
  <c r="A187" i="1" s="1"/>
  <c r="A191" i="1" l="1"/>
  <c r="A196" i="1" l="1"/>
  <c r="A202" i="1" s="1"/>
  <c r="A205" i="1" l="1"/>
  <c r="A213" i="1" s="1"/>
  <c r="A216" i="1" s="1"/>
  <c r="A219" i="1" s="1"/>
  <c r="A227" i="1" s="1"/>
  <c r="A231" i="1" l="1"/>
  <c r="A236" i="1" s="1"/>
  <c r="A241" i="1" s="1"/>
  <c r="A246" i="1" s="1"/>
  <c r="A248" i="1" s="1"/>
  <c r="A253" i="1" s="1"/>
  <c r="A258" i="1" s="1"/>
  <c r="A261" i="1" s="1"/>
  <c r="A267" i="1" l="1"/>
  <c r="A270" i="1" s="1"/>
  <c r="A275" i="1" s="1"/>
  <c r="A281" i="1" s="1"/>
  <c r="A285" i="1" l="1"/>
  <c r="A292" i="1" l="1"/>
  <c r="A295" i="1" l="1"/>
  <c r="A300" i="1" l="1"/>
  <c r="A309" i="1" s="1"/>
  <c r="A322" i="1" s="1"/>
  <c r="A325" i="1" s="1"/>
  <c r="A335" i="1" l="1"/>
  <c r="A341" i="1" l="1"/>
  <c r="A348" i="1" l="1"/>
  <c r="A354" i="1" s="1"/>
  <c r="A357" i="1" s="1"/>
  <c r="A361" i="1" l="1"/>
  <c r="A366" i="1" l="1"/>
  <c r="A372" i="1" s="1"/>
  <c r="A376" i="1" s="1"/>
  <c r="A382" i="1" s="1"/>
  <c r="A388" i="1" s="1"/>
  <c r="A391" i="1" s="1"/>
  <c r="A396" i="1" s="1"/>
  <c r="A399" i="1" s="1"/>
  <c r="A411" i="1" s="1"/>
  <c r="A414" i="1" s="1"/>
  <c r="A417" i="1" s="1"/>
  <c r="A421" i="1" s="1"/>
  <c r="A426" i="1" s="1"/>
  <c r="A429" i="1" s="1"/>
  <c r="A433" i="1" s="1"/>
  <c r="A438" i="1" s="1"/>
  <c r="A441" i="1" s="1"/>
  <c r="A445" i="1" s="1"/>
  <c r="A451" i="1" s="1"/>
  <c r="A454" i="1" s="1"/>
  <c r="A457" i="1" s="1"/>
  <c r="A462" i="1" s="1"/>
  <c r="A465" i="1" l="1"/>
  <c r="A468" i="1" s="1"/>
  <c r="A471" i="1" s="1"/>
  <c r="A476" i="1" l="1"/>
  <c r="A480" i="1" s="1"/>
  <c r="A483" i="1" s="1"/>
  <c r="A486" i="1" l="1"/>
  <c r="A489" i="1" s="1"/>
  <c r="A492" i="1" s="1"/>
  <c r="A495" i="1" s="1"/>
  <c r="A500" i="1" s="1"/>
  <c r="A503" i="1" l="1"/>
  <c r="A509" i="1" l="1"/>
  <c r="A513" i="1" s="1"/>
  <c r="A520" i="1" s="1"/>
  <c r="A525" i="1" l="1"/>
  <c r="A530" i="1" s="1"/>
  <c r="A534" i="1" l="1"/>
  <c r="A539" i="1" s="1"/>
  <c r="A542" i="1" l="1"/>
  <c r="A546" i="1" s="1"/>
  <c r="A550" i="1" s="1"/>
  <c r="A554" i="1" s="1"/>
  <c r="A559" i="1" l="1"/>
  <c r="A564" i="1" s="1"/>
  <c r="A570" i="1" l="1"/>
  <c r="A574" i="1" l="1"/>
  <c r="A577" i="1" s="1"/>
  <c r="A590" i="1" l="1"/>
  <c r="A597" i="1" s="1"/>
  <c r="A611" i="1" s="1"/>
  <c r="A618" i="1" l="1"/>
  <c r="A622" i="1" s="1"/>
  <c r="A626" i="1" s="1"/>
  <c r="A630" i="1" s="1"/>
  <c r="H94" i="1"/>
  <c r="H93" i="1" s="1"/>
  <c r="A637" i="1" l="1"/>
  <c r="A654" i="1" s="1"/>
  <c r="A658" i="1" s="1"/>
  <c r="A663" i="1" s="1"/>
  <c r="A678" i="1" s="1"/>
</calcChain>
</file>

<file path=xl/sharedStrings.xml><?xml version="1.0" encoding="utf-8"?>
<sst xmlns="http://schemas.openxmlformats.org/spreadsheetml/2006/main" count="1439" uniqueCount="847">
  <si>
    <t>Stavba:</t>
  </si>
  <si>
    <t>Objekt:</t>
  </si>
  <si>
    <t>C.P.</t>
  </si>
  <si>
    <t>POLOŽKA</t>
  </si>
  <si>
    <t>VÝKAZ VÝMER</t>
  </si>
  <si>
    <t>M. J.</t>
  </si>
  <si>
    <t>MNOŽSTVO</t>
  </si>
  <si>
    <t>KÓD KP</t>
  </si>
  <si>
    <t>KÓD PP</t>
  </si>
  <si>
    <t>45.11.11</t>
  </si>
  <si>
    <t>m3</t>
  </si>
  <si>
    <t>ks</t>
  </si>
  <si>
    <t>m2</t>
  </si>
  <si>
    <t>m</t>
  </si>
  <si>
    <t>05080200</t>
  </si>
  <si>
    <t>Doprava vybúraných hmôt vodorovná</t>
  </si>
  <si>
    <t>t</t>
  </si>
  <si>
    <t>0508020003</t>
  </si>
  <si>
    <t>Doprava vybúraných hmôt vodorovná, nad 1 km</t>
  </si>
  <si>
    <t>01060204</t>
  </si>
  <si>
    <t>45.11.24</t>
  </si>
  <si>
    <t>45.00.00</t>
  </si>
  <si>
    <t>00010401</t>
  </si>
  <si>
    <t>Zmluvné požiadavky poplatky za skládky vybúraných hmôt a sutí</t>
  </si>
  <si>
    <t>00010404</t>
  </si>
  <si>
    <t>Zmluvné požiadavky poplatky za skládky travín, krovia, mačiny,lesnej hrabanky</t>
  </si>
  <si>
    <t>05010305</t>
  </si>
  <si>
    <t>Búranie konštrukcií stropov, klenieb, schodov železobetónových</t>
  </si>
  <si>
    <t>05020131</t>
  </si>
  <si>
    <t>Vybúranie, odstránenie konštrukcií - izolácie povlakovej</t>
  </si>
  <si>
    <t>05020907</t>
  </si>
  <si>
    <t>05040104</t>
  </si>
  <si>
    <t>Odstránenie konštrukcií vodných korýt a vo vodných tokoch, dlažieb včítane podkladov z betónu</t>
  </si>
  <si>
    <t>05090205</t>
  </si>
  <si>
    <t>Doplňujúce práce, úprava stavebných konštrukcií vysokotlakým vodným lúčom železobetónových</t>
  </si>
  <si>
    <t>0509020501</t>
  </si>
  <si>
    <t>Doplňujúce práce, úprava stavebných konštrukcií vysokotlakým vodným lúčom železobetónových, čistenie</t>
  </si>
  <si>
    <t>21251161</t>
  </si>
  <si>
    <t>Doplňujúce konštrukcie, špeciálne pomocné, ošetrenie betonárskej výstuže</t>
  </si>
  <si>
    <t>45.11.12</t>
  </si>
  <si>
    <t>11200101</t>
  </si>
  <si>
    <t>Podkladné konštrukcie, podkladné vrstvy, z betónu prostého</t>
  </si>
  <si>
    <t>11200111</t>
  </si>
  <si>
    <t>Podkladné konštrukcie, podkladné vrstvy, debnenie tradičné</t>
  </si>
  <si>
    <t>1120011101</t>
  </si>
  <si>
    <t>Podkladné konštrukcie, podkladné vrstvy, debnenie tradičné drevené</t>
  </si>
  <si>
    <t>13071613</t>
  </si>
  <si>
    <t>Vonkajšie povrchy podhľadov, reprofilácia vodor. plôch maltou sanačnou</t>
  </si>
  <si>
    <t>13071513</t>
  </si>
  <si>
    <t>Vonkajšie povrchy podhľadov, reprofilácia podhľadov maltou sanačnou</t>
  </si>
  <si>
    <t>sub.</t>
  </si>
  <si>
    <t>00030705</t>
  </si>
  <si>
    <t>Staveniskové náklady zhotoviteľa pomocné práce zhotovovacie alebo zaisťovacie lešenia</t>
  </si>
  <si>
    <t>01010001</t>
  </si>
  <si>
    <t>Pripravné práce, všeobecné vypratanie zastavaných území</t>
  </si>
  <si>
    <t>na skládku odpadu spolu</t>
  </si>
  <si>
    <t>odvoz do zberných surovín</t>
  </si>
  <si>
    <t>Odvoz sute a vybúraných hmôt spolu</t>
  </si>
  <si>
    <t>45.22.11</t>
  </si>
  <si>
    <t>45.23.32</t>
  </si>
  <si>
    <t>45.24.70</t>
  </si>
  <si>
    <t>45.44.20</t>
  </si>
  <si>
    <t>45.11.25</t>
  </si>
  <si>
    <t>Stavebné práce na mostoch</t>
  </si>
  <si>
    <t>31210308</t>
  </si>
  <si>
    <t>Spevnené plochy, dlažby z betónových dielcov, tvárnic</t>
  </si>
  <si>
    <t>3121030801</t>
  </si>
  <si>
    <t>Spevnené plochy, dlažby z betónových dielcov, tvárnic hmotnosť do 60 kg</t>
  </si>
  <si>
    <t>Premiestnenie  vodorovné nad 3 000 m</t>
  </si>
  <si>
    <t>45.22.38</t>
  </si>
  <si>
    <t>Kompletovanie a montáž prefabrikovaných konštrukcií</t>
  </si>
  <si>
    <t>15090101</t>
  </si>
  <si>
    <t>Schodiskové konštrukcie plošné, z dielcov betónových</t>
  </si>
  <si>
    <t>odvoz do vzd. 40 km s naložením a vykládkou</t>
  </si>
  <si>
    <t>22250980</t>
  </si>
  <si>
    <t>Doplňujúce konštrukcie,  obrubníky chodníkové</t>
  </si>
  <si>
    <t>2225098001</t>
  </si>
  <si>
    <t>Doplňujúce konštrukcie,  obrubníky chodníkové betónové</t>
  </si>
  <si>
    <t>Práce na vrchnej stavbe diaľníc, ciest, ulíc, chodníkov a nekrytých parkovísk</t>
  </si>
  <si>
    <t>Nanášanie ochranných vrstiev - maliarske a natieračské práce</t>
  </si>
  <si>
    <t>45.41.10</t>
  </si>
  <si>
    <t>Práce na hrubej stavbe úprav tokov, hrádzí, zavlažovacích kanálov a akvaduktov</t>
  </si>
  <si>
    <t>Omietkárske práce</t>
  </si>
  <si>
    <t>Vybúranie konštrukcií a demontáže, rôznych predmetov kovových</t>
  </si>
  <si>
    <t>05010812</t>
  </si>
  <si>
    <t>Búranie konštrukcií, otlčenie omietok a odstránenie povrchových úprav cementových</t>
  </si>
  <si>
    <t>05090461</t>
  </si>
  <si>
    <t>Doplňujúce práce, diamantové rezanie betónového krytu, podkladu</t>
  </si>
  <si>
    <t>01010103</t>
  </si>
  <si>
    <t>Pripravné práce, odstránenie porastov krovín</t>
  </si>
  <si>
    <t>0101010301</t>
  </si>
  <si>
    <t>Pripravné práce, odstránenie porastov krovín na suchu</t>
  </si>
  <si>
    <t>11090211</t>
  </si>
  <si>
    <t>Schodiskové konštrukcie, stupne, debnenie tradičné</t>
  </si>
  <si>
    <t>1109021101</t>
  </si>
  <si>
    <t>Schodiskové konštrukcie, stupne, debnenie tradičné drevené</t>
  </si>
  <si>
    <t>1120010103</t>
  </si>
  <si>
    <t>Podkladné konštrukcie, podkladné vrstvy z betónu prostého, tr. C 12/15 (B 15)</t>
  </si>
  <si>
    <t>05090207</t>
  </si>
  <si>
    <t>Doplňujúce práce, úprava stavebných konštrukcií vysokotlakým vodným lúčom kovových</t>
  </si>
  <si>
    <t>0509020701</t>
  </si>
  <si>
    <t>Doplňujúce práce, úprava stavebných konštrukcií vysokotlakým vodným lúčom kovových, čistenie</t>
  </si>
  <si>
    <t>13101513</t>
  </si>
  <si>
    <t>Vonkajšie povrchy stĺpov a pilierov, reprofilácia zvislých a šikmých plôch maltou sanačnou</t>
  </si>
  <si>
    <t>13070808</t>
  </si>
  <si>
    <t>Vonkajšie povrchy vodor. konštrukcií, maltovinová úprava z plastických maltovín</t>
  </si>
  <si>
    <t>1307080801</t>
  </si>
  <si>
    <t>Vonkajšie povrchy vodor. konštrukcií, maltovinová úprava z plastických maltovín, jednovrstvová</t>
  </si>
  <si>
    <t>84010107</t>
  </si>
  <si>
    <t>Náter oceľových konštrukcií, farba epoxidová</t>
  </si>
  <si>
    <t>8401010701</t>
  </si>
  <si>
    <t>Náter oceľových konštrukcií, farba epoxidová, základný</t>
  </si>
  <si>
    <t>8401010702</t>
  </si>
  <si>
    <t>Náter oceľových konštrukcií, farba epoxidová, jednonásobný</t>
  </si>
  <si>
    <t>84010110</t>
  </si>
  <si>
    <t>Náter oceľových konštrukcií, farba polyuretanová</t>
  </si>
  <si>
    <t>8401011002</t>
  </si>
  <si>
    <t>Náter oceľových konštrukcií, farba polyuretanová, jednonásobný</t>
  </si>
  <si>
    <t>84010807</t>
  </si>
  <si>
    <t>Náter omietok a betónových povrchov, farba epoxidová</t>
  </si>
  <si>
    <t>8401080703</t>
  </si>
  <si>
    <t>Náter omietok a betónových povrchov, farba epoxidová, mostoviek</t>
  </si>
  <si>
    <t>84010810</t>
  </si>
  <si>
    <t>Náter omietok a betónových povrchov, impregnačný polyuretánový náter</t>
  </si>
  <si>
    <t>8401081003</t>
  </si>
  <si>
    <t>Náter omietok a betónových povrchov, impregnačný polyuretánový náter mostoviek</t>
  </si>
  <si>
    <t>21250424</t>
  </si>
  <si>
    <t>Doplňujúce konštrukcie, dilatačné zariadenia, tesnenie dilatačných škár</t>
  </si>
  <si>
    <t>2125042403</t>
  </si>
  <si>
    <t>Doplňujúce konštrukcie, dilatačné zariadenia, tesnenie dilatačných škár polyuretánovým tmelom</t>
  </si>
  <si>
    <t>Všeobecné položky v procese obstarávania stavieb</t>
  </si>
  <si>
    <t>Demolačné práce</t>
  </si>
  <si>
    <t>Úprava staveniska a vyčisťovacie práce</t>
  </si>
  <si>
    <t>Výkopové práce</t>
  </si>
  <si>
    <t>01030102</t>
  </si>
  <si>
    <t>Hĺbené vykopávky jám nezapažených</t>
  </si>
  <si>
    <t>0103010207</t>
  </si>
  <si>
    <t>Hĺbené vykopávky jám nezapažených, tr. horniny 1-4</t>
  </si>
  <si>
    <t>01040402</t>
  </si>
  <si>
    <t>Konštrukcie z hornín - zásypy so zhutnením</t>
  </si>
  <si>
    <t>0104040207</t>
  </si>
  <si>
    <t>Konštrukcie z hornín - zásypy so zhutnením, tr. horniny 1-4</t>
  </si>
  <si>
    <t>Presun zemín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</si>
  <si>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</si>
  <si>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</si>
  <si>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</si>
  <si>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</si>
  <si>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 xml:space="preserve">vrchný náter - polyuretán 80 µm
</t>
  </si>
  <si>
    <t>00060121</t>
  </si>
  <si>
    <t>Zariadenie staveniska, prevádzkové, oplotenie staveniska</t>
  </si>
  <si>
    <t>kpl.</t>
  </si>
  <si>
    <t>00000106</t>
  </si>
  <si>
    <t>Dokumentácia na vykonanie prác (DVP)</t>
  </si>
  <si>
    <t>00000107</t>
  </si>
  <si>
    <t>Dokumentácia skutočného realizovania stavby (DSRS)</t>
  </si>
  <si>
    <t>vypracovanie DSRS 3 x v tlačenej + 1 x v digit.forme</t>
  </si>
  <si>
    <t xml:space="preserve">Dokumentácia skutočného realizovania stavby </t>
  </si>
  <si>
    <t xml:space="preserve">Vypracovanie nového mostného zošita </t>
  </si>
  <si>
    <t>05010405</t>
  </si>
  <si>
    <t>Búranie konštrukcií trámov, nosníkov, prievlakov, konzolových prvkov železobetónových</t>
  </si>
  <si>
    <t>ľavá rímsa</t>
  </si>
  <si>
    <t>0,34*(35,19+69,48+69,48+69,48+69,48+70,06+77,63+36,34+78,48+35,17+2*3)=</t>
  </si>
  <si>
    <t>pravá rímsa</t>
  </si>
  <si>
    <t>0,311*(35,19+69,48+69,48+69,48+69,48+70,06+77,63+36,34+78,48+35,17+2*3)=</t>
  </si>
  <si>
    <t>prechodové dosky</t>
  </si>
  <si>
    <t>05010304</t>
  </si>
  <si>
    <t>Búranie konštrukcií stropov, klenieb, schodov betónových, sklobetónových</t>
  </si>
  <si>
    <t>podkladný betón prechodových dosiek</t>
  </si>
  <si>
    <t>7,2*11,4*0,15*2=</t>
  </si>
  <si>
    <t>7*11*0,35*2=</t>
  </si>
  <si>
    <t>05030166</t>
  </si>
  <si>
    <t>Odstránenie spevnených plôch vozoviek a doplňujúcich konštrukcií krytov dlaždených</t>
  </si>
  <si>
    <t>0503016601</t>
  </si>
  <si>
    <t>Odstránenie spevnených plôch vozoviek a doplňujúcich konštrukcií krytov dlaždených hr.do 100 mm</t>
  </si>
  <si>
    <t>búranie spevnenia pod mostom - výmena spevňujúcich dielcov:     1,5*(149+102)*0,1+1,5*(10,2+7,1)*0,5=</t>
  </si>
  <si>
    <t>05030407</t>
  </si>
  <si>
    <t>Odstránenie spevnených plôch vozoviek a doplňujúcich konštrukcií zvodidiel, zábradlia, stien, oplotení kovových</t>
  </si>
  <si>
    <t>28,0+28,0=</t>
  </si>
  <si>
    <t>05030401</t>
  </si>
  <si>
    <t>Odstránenie spevnených plôch vozoviek a doplňujúcich konštrukcií zvodidiel, zábradlia, stien, oplotení z dielcov prefabrikovaných</t>
  </si>
  <si>
    <t>demontáž zvodidla mostného vrátane  zábrany proti preliezaniu</t>
  </si>
  <si>
    <t>624,0+624,0=</t>
  </si>
  <si>
    <t>demontáž zvodidla cestného vrátane zvodníc</t>
  </si>
  <si>
    <t>05090362</t>
  </si>
  <si>
    <t>Doplňujúce práce, frézovanie bitúmenového krytu, podkladu</t>
  </si>
  <si>
    <t>báleš + asfaltový lak + mastix 5+10 mm:     10,75*(35,19+69,48+69,48+69,48+69,48+70,06+77,63+36,34+78,48+35,17)=</t>
  </si>
  <si>
    <t>asfaltový koberec mastixový 40 mm:     2*50*11,75=</t>
  </si>
  <si>
    <t>0509036203</t>
  </si>
  <si>
    <t>Doplňujúce práce, frézovanie bitúmenového krytu, podkladu hr. 40 mm</t>
  </si>
  <si>
    <t>vozovka na diaľnici</t>
  </si>
  <si>
    <t>0509036204</t>
  </si>
  <si>
    <t>Doplňujúce práce, frézovanie bitúmenového krytu, podkladu hr. 50 mm</t>
  </si>
  <si>
    <t>asfaltový betón 50 mm:     2*14,6*11,75=</t>
  </si>
  <si>
    <t>05030261</t>
  </si>
  <si>
    <t>Odstránenie spevnených plôch vozoviek a doplňujúcich konštrukcií podkladov z betónu prostého</t>
  </si>
  <si>
    <t>0503026102</t>
  </si>
  <si>
    <t>Odstránenie spevnených plôch vozoviek a doplňujúcich konštrukcií podkladov z betónu prostého hr. nad 100 do 200 mm</t>
  </si>
  <si>
    <t>cementová stabilizácia 200 mm:     2*10*11,75=</t>
  </si>
  <si>
    <t>05030264</t>
  </si>
  <si>
    <t>Odstránenie spevnených plôch vozoviek a doplňujúcich konštrukcií podkladov z kameniva hrubého drveného</t>
  </si>
  <si>
    <t>0503026403</t>
  </si>
  <si>
    <t>Odstránenie spevnených plôch vozoviek a doplňujúcich konštrukcií podkladov z kameniva hrubého drveného hr. nad 200 do 300 mm</t>
  </si>
  <si>
    <t>štrkodrva 220 mm:     2*13*11,75=</t>
  </si>
  <si>
    <t>22251489</t>
  </si>
  <si>
    <t>Doplňujúce konštrukcie,  pri stavbe krytov komunikácií, brúsenie,zdrsnenie</t>
  </si>
  <si>
    <t>2225148901</t>
  </si>
  <si>
    <t>Doplňujúce konštrukcie,  pri stavbe krytov komunikácií, brúsenie,zdrsnenie cementobetónového krytu</t>
  </si>
  <si>
    <t xml:space="preserve">čistenie nosnej konštrukcie tlakovou vodou 80-100 MPa </t>
  </si>
  <si>
    <t>zvislé plochy:     4,87*615,4=</t>
  </si>
  <si>
    <t>podhľad:     13,125*615,4=</t>
  </si>
  <si>
    <t>vodorovné plochy:     13,125*615,4=</t>
  </si>
  <si>
    <t>čistenie spodnej stavby</t>
  </si>
  <si>
    <t>zvislé plochy:     2636+(5+1,25)*2*0,15*16=</t>
  </si>
  <si>
    <t>podhľad:</t>
  </si>
  <si>
    <t xml:space="preserve">vodorovné plochy: </t>
  </si>
  <si>
    <t>medzisúčet</t>
  </si>
  <si>
    <t>mechanické čistenie nosnej konštrukcie</t>
  </si>
  <si>
    <t>05090405</t>
  </si>
  <si>
    <t>Doplňujúce práce, diamantové rezanie betónovej konštrukcie</t>
  </si>
  <si>
    <t>zarezanie škáry  prechodová doska:     2*11=</t>
  </si>
  <si>
    <t>0509046103</t>
  </si>
  <si>
    <t>Doplňujúce práce, diamantové rezanie betónového krytu, podkladu hr. nad 150 do 200 mm</t>
  </si>
  <si>
    <t>zarezanie škáry cementová stabilizácia 200 mm:     2*10,75=</t>
  </si>
  <si>
    <t>05090462</t>
  </si>
  <si>
    <t>Doplňujúce práce, diamantové rezanie bitúmenového krytu, podkladu</t>
  </si>
  <si>
    <t>0509046201</t>
  </si>
  <si>
    <t>Doplňujúce práce, diamantové rezanie bitúmenového krytu, podkladu hr. do 50 mm</t>
  </si>
  <si>
    <t>0509046202</t>
  </si>
  <si>
    <t>Doplňujúce práce, diamantové rezanie bitúmenového krytu, podkladu hr nad 50 do 100 mm</t>
  </si>
  <si>
    <t>zarezanie škáry  asfaltový koberec mastixový 40 mm:     2*10,75=</t>
  </si>
  <si>
    <t>zarezanie škáry  asfaltový betón 50 mm:     2*10,75=</t>
  </si>
  <si>
    <t>zarezanie škáry  asfaltový betón 90 mm:     2*10,75=</t>
  </si>
  <si>
    <t xml:space="preserve">vyčistenie okolia mosta:     613,5*13,4= </t>
  </si>
  <si>
    <t>svahové kužele:     (296+160)*1,2=</t>
  </si>
  <si>
    <t>prechodová doska:     8*13*2=</t>
  </si>
  <si>
    <t>01030201</t>
  </si>
  <si>
    <t>Hĺbené vykopávky rýh š. do 600 mm</t>
  </si>
  <si>
    <t>0103020107</t>
  </si>
  <si>
    <t>Hĺbené vykopávky rýh š. do 600 mm, tr. horniny 1-4</t>
  </si>
  <si>
    <t>schody:     (16,2+13,15)*0,6*2=</t>
  </si>
  <si>
    <t>podpery:     (5+1,25)*2*0,3*0,6*16=</t>
  </si>
  <si>
    <t xml:space="preserve">spätný zásyp </t>
  </si>
  <si>
    <t>05090500</t>
  </si>
  <si>
    <t>Jadrové vŕtanie</t>
  </si>
  <si>
    <t>0509050001</t>
  </si>
  <si>
    <t>Jadrové vŕtanie do 50 mm</t>
  </si>
  <si>
    <t>0509050004</t>
  </si>
  <si>
    <t>Jadrové vŕtanie od 150 mm do 200 mm</t>
  </si>
  <si>
    <t>Ø180 pre odvodňovače:     44*0,2*2=</t>
  </si>
  <si>
    <t>05090503</t>
  </si>
  <si>
    <t>Doplňujúce práce, vŕtanie do železobetónu</t>
  </si>
  <si>
    <t>0509050301</t>
  </si>
  <si>
    <t>Doplňujúce práce, vŕtanie do železobetónu stien</t>
  </si>
  <si>
    <t>Ø18 vlepovanie výstuže v prech doske:     74*0,2*2*2=</t>
  </si>
  <si>
    <t>odkopanie násypu pred prechodovou doskou:     2*7,0*13=</t>
  </si>
  <si>
    <t>00020801</t>
  </si>
  <si>
    <t>Požiadavky objednávateľa ostatné požiadavky geodetické zabezpečenie</t>
  </si>
  <si>
    <t>porealizačne zameranie:     13,4*623+2*50*11,75=</t>
  </si>
  <si>
    <t xml:space="preserve">rímsy v rozsahu opravy </t>
  </si>
  <si>
    <t>nosná konštrukcia po odbúraní vozovky:     11,75*615,0=</t>
  </si>
  <si>
    <t>nosná konštrukcia po odbúraní vozovky a vyrovnávacieho betonu:     13,12*615=</t>
  </si>
  <si>
    <t>nosná konštrukcia a zvršok pred ich odstránením:     13,45*623,0=</t>
  </si>
  <si>
    <t>ľavá rímsa:     0,8*(35,19+69,48+69,48+69,48+69,48+70,06+77,63+36,34+78,48+35,17+2*3)=</t>
  </si>
  <si>
    <t>pravá rímsa:     0,85*(35,19+69,48+69,48+69,48+69,48+70,06+77,63+36,34+78,48+35,17+2*3)=</t>
  </si>
  <si>
    <t>vytvorenie zásteny po celej dĺžke mosta počas trvania stavby:     614,5*2=1229,0 m2</t>
  </si>
  <si>
    <t>kríky:     547,2*0,3=</t>
  </si>
  <si>
    <t>11080102</t>
  </si>
  <si>
    <t xml:space="preserve">Vodorovné nosné konštrukcie inžinierskych stavieb, prechodové dosky z betónu železového </t>
  </si>
  <si>
    <t>1108010203</t>
  </si>
  <si>
    <t>Vodorovné nosné konštrukcie inžinierskych stavieb, prechodové dosky  z betónu železového, tr. C 12/15 (B 15)</t>
  </si>
  <si>
    <t>podkladový betón:     2*(11,55*7,2*0,15)=</t>
  </si>
  <si>
    <t>1108010207</t>
  </si>
  <si>
    <t>Vodorovné nosné konštrukcie inžinierskych stavieb, prechodové dosky  z betónu železového, tr. C 30/37 (B 35)</t>
  </si>
  <si>
    <t>2*(11,15*7*0,32+0,2*11,15)=</t>
  </si>
  <si>
    <t>11080111</t>
  </si>
  <si>
    <t>Vodorovné nosné konštrukcie inžinierskych stavieb, prechodové dosky, debnenie tradičné</t>
  </si>
  <si>
    <t>1108011101</t>
  </si>
  <si>
    <t>Vodorovné nosné konštrukcie inžinierskych stavieb, prechodové dosky, debnenie tradičné drevené</t>
  </si>
  <si>
    <t>podkladový betón:     (11,55+7,2*2)*0,15*2=</t>
  </si>
  <si>
    <t>PD + ozub:     (((2*0,2)+0,925*11,15)+(2*7+11,15)*0,32)*2=</t>
  </si>
  <si>
    <t>11080121</t>
  </si>
  <si>
    <t>Vodorovné nosné konštrukcie inžinierskych stavieb, prechodové dosky, výstuž z betonárskej ocele</t>
  </si>
  <si>
    <t>1108012106</t>
  </si>
  <si>
    <t>Vodorovné nosné konštrukcie inžinierskych stavieb, prechodové dosky, výstuž z betonárskej ocele B500B</t>
  </si>
  <si>
    <t>11050602</t>
  </si>
  <si>
    <t>Zvislé konštrukcie inžinierskych stavieb, rímsy z betónu železového</t>
  </si>
  <si>
    <t>1105060208</t>
  </si>
  <si>
    <t>Zvislé konštrukcie inžinierskych stavieb, rímsy z betónu železového, tr. C 35/45 (B 45)</t>
  </si>
  <si>
    <t>ľavá rímsa:     0,172*(35,19+69,48+69,48+69,48+69,48+70,06+77,63+36,34+78,48+35,17+2*3)=</t>
  </si>
  <si>
    <t>pravá rímsa:     0,191*(35,19+69,48+69,48+69,48+69,48+70,06+77,63+36,34+78,48+35,17+2*3)=</t>
  </si>
  <si>
    <t>11050611</t>
  </si>
  <si>
    <t>Zvislé konštrukcie inžinierskych stavieb, rímsy, debnenie tradičné</t>
  </si>
  <si>
    <t>1105061101</t>
  </si>
  <si>
    <t>Zvislé konštrukcie inžinierskych stavieb, rímsy, debnenie tradičné drevené</t>
  </si>
  <si>
    <t>ľavá rímsa:     0,245*(35,19+69,48+69,48+69,48+69,48+70,06+77,63+36,34+78,48+35,17+2*3)+0,172*96=</t>
  </si>
  <si>
    <t>pravá rímsa:     0,245*(35,19+69,48+69,48+69,48+69,48+70,06+77,63+36,34+78,48+35,17+2*3)+0,191*96=</t>
  </si>
  <si>
    <t>11050613</t>
  </si>
  <si>
    <t>Zvislé konštrukcie inžinierskych stavieb, rímsy, debnenie zabudované</t>
  </si>
  <si>
    <t>ľavá rímsa:     0,225*(35,19+69,48+69,48+69,48+69,48+70,06+77,63+36,34+78,48+35,17+2*3)=</t>
  </si>
  <si>
    <t>pravá rímsa:     0,225*(35,19+69,48+69,48+69,48+69,48+70,06+77,63+36,34+78,48+35,17+2*3)=</t>
  </si>
  <si>
    <t>11050621</t>
  </si>
  <si>
    <t>Zvislé konštrukcie inžinierskych stavieb, rímsy, výstuž z betonárskej ocele</t>
  </si>
  <si>
    <t>1105062106</t>
  </si>
  <si>
    <t>Zvislé konštrukcie inžinierskych stavieb, rímsy, výstuž z betonárskej ocele B500B</t>
  </si>
  <si>
    <t>15020407</t>
  </si>
  <si>
    <t>Múry, rímsy z dielcov polymérbetónových</t>
  </si>
  <si>
    <t>rímsove prefabrikáty polymerbetón hr 40 mm, dĺžka 1,0 m, výška 0,7 m, 1239 ks</t>
  </si>
  <si>
    <t>1105061303</t>
  </si>
  <si>
    <t>Zvislé konštrukcie inžinierskych stavieb, rímsy, debnenie zabudované betónové, železobetónové</t>
  </si>
  <si>
    <t>21250907</t>
  </si>
  <si>
    <t xml:space="preserve">Doplňujúce konštrukcie, drobné zariadenia oceľové </t>
  </si>
  <si>
    <t>kotvy ríms</t>
  </si>
  <si>
    <t>ľavá rímsa:     (35,19+69,48+69,48+69,48+69,48+70,06+77,63+36,34+78,48+35,17+2*3)=</t>
  </si>
  <si>
    <t>pravá rímsa:      (35,19+69,48+69,48+69,48+69,48+70,06+77,63+36,34+78,48+35,17+2*3)=</t>
  </si>
  <si>
    <t>rímsa - rímsovy prefabrikát, šírka 20 mm, hĺbka 20 mm:     616+3*2+615,5+3*2</t>
  </si>
  <si>
    <t>0,6*0,13*0,75*37+0,5*0,195*0,75*16+0,5*0,18*0,75*34=</t>
  </si>
  <si>
    <t>prefabrikované schodiskové stupne  - C25/30, 87 kusov</t>
  </si>
  <si>
    <t>11090202</t>
  </si>
  <si>
    <t>Schodiskové konštrukcie, stupne z betónu železového</t>
  </si>
  <si>
    <t>1109020207</t>
  </si>
  <si>
    <t>Schodiskové konštrukcie, stupne z betónu železového, tr. C 30/37 (B 35)</t>
  </si>
  <si>
    <t>5,53*1,15+7,42*0,4+4,33*1,15+4,95*0,4=</t>
  </si>
  <si>
    <t>(12,95+2,8+9,27+2,06+2,3*2)*2=</t>
  </si>
  <si>
    <t>31200102</t>
  </si>
  <si>
    <t>3120010201</t>
  </si>
  <si>
    <t>Podkladné konštrukcie pod dlažbu, štrkodrva</t>
  </si>
  <si>
    <t>Podkladné konštrukcie pod dlažbu, štrkodrva hr. do 200 mm</t>
  </si>
  <si>
    <t>pod schodiskom, fr. 0/32:     (0,4+0,46+0,42+0,45+0,5)*1,2=</t>
  </si>
  <si>
    <t>11080202</t>
  </si>
  <si>
    <t>Vodorovné nosné konštrukcie inžinierskych stavieb, mostné dosky z betónu železového</t>
  </si>
  <si>
    <t>1108020207</t>
  </si>
  <si>
    <t>Vodorovné nosné konštrukcie inžinierskych stavieb, mostné dosky  z betónu železového, tr. C 30/37 (B 35)</t>
  </si>
  <si>
    <t>vyrovnávací betón:      1,25*(35,19+69,48+69,48+69,48+69,48+70,06+77,63+36,34+78,48+35,17)=</t>
  </si>
  <si>
    <t>11080211</t>
  </si>
  <si>
    <t>Vodorovné nosné konštrukcie inžinierskych stavieb, mostné dosky, debnenie tradičné</t>
  </si>
  <si>
    <t>1108021101</t>
  </si>
  <si>
    <t>Vodorovné nosné konštrukcie inžinierskych stavieb, mostné dosky, debnenie tradičné drevené</t>
  </si>
  <si>
    <t>vyrovnávací betón:     (0,15+0,11)*(35,19+69,48+69,48+69,48+69,48+70,06+77,63+36,34+78,48+35,17)=</t>
  </si>
  <si>
    <t>11080221</t>
  </si>
  <si>
    <t>Vodorovné nosné konštrukcie inžinierskych stavieb, mostné dosky, výstuž z betonárskej ocele</t>
  </si>
  <si>
    <t>21250108</t>
  </si>
  <si>
    <t>Doplňujúce konštrukcie, zvodidlá oceľové zábradeľné, úroveň zachytenia H3</t>
  </si>
  <si>
    <t>22250362</t>
  </si>
  <si>
    <t>Doplňujúce konštrukcie, zvodidlá oceľové</t>
  </si>
  <si>
    <t>2225036201</t>
  </si>
  <si>
    <t>Doplňujúce konštrukcie, zvodidlá oceľové s jednou zvodnicou</t>
  </si>
  <si>
    <t>cestné zvodidlo H2:     28,0+28,0=</t>
  </si>
  <si>
    <t>zahustenie stĺpikov po 2 m pôvodného zvodidla na dĺžke 28,0+28,0=56,0 m</t>
  </si>
  <si>
    <t>22250465</t>
  </si>
  <si>
    <t>Doplňujúce konštrukcie,  ochranné zariadenia, nádstavce na zvodidlá</t>
  </si>
  <si>
    <t>smerový stĺpik na zvodidlo:     20,0+20,0=</t>
  </si>
  <si>
    <t>smerový stĺpik na zvodidlo s výstrahou:     20,0+20,0=</t>
  </si>
  <si>
    <t>00020605</t>
  </si>
  <si>
    <t>Požiadavky objednávateľa pomocné práce zhotovovacie alebo zaisťovacie lešenia</t>
  </si>
  <si>
    <t>21250320</t>
  </si>
  <si>
    <t>Doplňujúce konštrukcie, odvodnenie mostov, odvodňovače</t>
  </si>
  <si>
    <t>mostný odvodňovač 500 x 300 mm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</si>
  <si>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</si>
  <si>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</si>
  <si>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</si>
  <si>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</si>
  <si>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2125042204</t>
  </si>
  <si>
    <t>Doplňujúce konštrukcie, dilatačné zariadenia, výplň dilatačných škár z polystyrénu</t>
  </si>
  <si>
    <t>21250528</t>
  </si>
  <si>
    <t>Doplňujúce konštrukcie, mostné zábrany a ochrany, protidotykové zábrany</t>
  </si>
  <si>
    <t>2125052802</t>
  </si>
  <si>
    <t>Doplňujúce konštrukcie, mostné zábrany a ochrany, protidotykové zábrany, sieť</t>
  </si>
  <si>
    <t>2125052803</t>
  </si>
  <si>
    <t>Doplňujúce konštrukcie, mostné zábrany a ochrany, protidotykové zábrany, rošt</t>
  </si>
  <si>
    <t>spätná montáž demontovaných kompozitných zábran</t>
  </si>
  <si>
    <t>24*1,13=</t>
  </si>
  <si>
    <t>2*3,4=</t>
  </si>
  <si>
    <t>22030643</t>
  </si>
  <si>
    <t>Podkladné a krycie vrstvy z asfaltových zmesí, bitúmenové vrstvy, asfaltový koberec drenážny</t>
  </si>
  <si>
    <t>2203064302</t>
  </si>
  <si>
    <t>Podkladné a krycie vrstvy z asfaltových zmesí, bitúmenové vrstvy, asfaltový koberec drenážny z plastbetónu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</si>
  <si>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</si>
  <si>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</si>
  <si>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</si>
  <si>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</si>
  <si>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2203064004</t>
  </si>
  <si>
    <t>Podkladné a krycie vrstvy z asfaltových zmesí, bitúmenové vrstvy, asfaltový betón  triedy I modifikovaný</t>
  </si>
  <si>
    <t>asfaltový betón modifikovaný AC16 L - 50 mm:     (14,65+14,65)*11,25*0,05=</t>
  </si>
  <si>
    <t>asfaltový betón modifikovaný AC22 P - 90 mm:     (13,65+13,65)*11,25*0,09=</t>
  </si>
  <si>
    <t>22030641</t>
  </si>
  <si>
    <t>Podkladné a krycie vrstvy z asfaltových zmesí, bitúmenové vrstvy, asfaltový koberec mastixový</t>
  </si>
  <si>
    <t>2203064101</t>
  </si>
  <si>
    <t>Podkladné a krycie vrstvy z asfaltových zmesí, bitúmenové vrstvy, asfaltový koberec mastixový triedy I</t>
  </si>
  <si>
    <t>45.23.33</t>
  </si>
  <si>
    <t>Práce na spodnej stavby diaľnic, ciest, ulíc a chodníkov a nekrytých parkovísk</t>
  </si>
  <si>
    <t>22020210</t>
  </si>
  <si>
    <t>Podkladné a krycie vrstvy s hydraulickým spojivom, stabilizované z miešacieho centra cementom</t>
  </si>
  <si>
    <t>22010104</t>
  </si>
  <si>
    <t>Podkladné a krycie vrstvy bez spojiva nestmelené, štrkodrva</t>
  </si>
  <si>
    <t>cementová stabilizácia CBGM C5/6 - 200 mm:     (12,8+12,8)*11,25*0,2=</t>
  </si>
  <si>
    <t>štrkodrvina ŠD 31,5 Gc - 220 mm:     (10,0+10,0)*11,25*0,22=</t>
  </si>
  <si>
    <t>22030329</t>
  </si>
  <si>
    <t>Podkladné a krycie vrstvy z asfaltových zmesí, bitúmenové postreky, nátery,posypy infiltračný postrek</t>
  </si>
  <si>
    <t>(13,65+13,65)*11,25=</t>
  </si>
  <si>
    <t>2203032902</t>
  </si>
  <si>
    <t>Podkladné a krycie vrstvy z asfaltových zmesí, bitúmenové postreky, nátery,posypy infiltračný postrek z modifikovaného asfaltu</t>
  </si>
  <si>
    <t>vozovka diaľnica:     551+550+(14,65+14,65)*11,25=</t>
  </si>
  <si>
    <t>vozovka diaľnica:    (551+550)*0,04=</t>
  </si>
  <si>
    <t>vozovka most:         6637,0*0,04=</t>
  </si>
  <si>
    <t>vozovka diaľnica</t>
  </si>
  <si>
    <t>22030744</t>
  </si>
  <si>
    <t>Podkladné a krycie vrstvy z asfaltových zmesí, liaty asfalt, cestný</t>
  </si>
  <si>
    <t>liaty asfalt MA11 PMB - 40 mm:     53,75*16*0,04=</t>
  </si>
  <si>
    <t>22030334</t>
  </si>
  <si>
    <t>Podkladné a krycie vrstvy z asfaltových zmesí, bitúmenové postreky, nátery, posypy posyp podkladu alebo krytu</t>
  </si>
  <si>
    <t>2203033402</t>
  </si>
  <si>
    <t>Podkladné a krycie vrstvy z asfaltových zmesí, bitúmenové postreky, nátery, posypy posyp podkladu alebo krytu predobalenou drvou</t>
  </si>
  <si>
    <t>vozovka most:     6637,0+53,75*16=</t>
  </si>
  <si>
    <t>45.26.14</t>
  </si>
  <si>
    <t>Izolačné práce proti vode</t>
  </si>
  <si>
    <t>61010502</t>
  </si>
  <si>
    <t>Izolácie proti vode a zemnej vlhkosti, mostoviek pásmi</t>
  </si>
  <si>
    <t>6101050201</t>
  </si>
  <si>
    <t>Izolácie proti vode a zemnej vlhkosti, mostoviek pásmi na ploche vodorovnej</t>
  </si>
  <si>
    <t>22250570</t>
  </si>
  <si>
    <t>Doplňujúce konštrukcie, značky staničenia a geodetické body, meračské značky</t>
  </si>
  <si>
    <t>22250671</t>
  </si>
  <si>
    <t>Doplňujúce konštrukcie,  zvislé dopravné značky, normálny alebo zväčšený rozmer</t>
  </si>
  <si>
    <t>2225067101</t>
  </si>
  <si>
    <t>Doplňujúce konštrukcie,  zvislé dopravné značky, normálny alebo zväčšený rozmer oceľové</t>
  </si>
  <si>
    <t>pozorované body:     37+37=</t>
  </si>
  <si>
    <t>evidenčné číslo mosta</t>
  </si>
  <si>
    <t>šírka 150 mm:     2*2=</t>
  </si>
  <si>
    <t>nosná konštrukcia - podhľad</t>
  </si>
  <si>
    <t>spodná stavba - podhľad</t>
  </si>
  <si>
    <t xml:space="preserve">nosná konštrukcia </t>
  </si>
  <si>
    <t>spodná stavba</t>
  </si>
  <si>
    <t>nosná konštrukcia - zvislé plochy:     4,87*615,4=</t>
  </si>
  <si>
    <t>spodná stavba - zvislé plochy:     (2636+(5+1,25)*2*0,15*16)=</t>
  </si>
  <si>
    <t>84010816</t>
  </si>
  <si>
    <t>Náter omietok a betónových povrchov, impregnačný cementový náter</t>
  </si>
  <si>
    <t>8401081603</t>
  </si>
  <si>
    <t>Náter omietok a betónových povrchov, impregnačný cementový náter mostoviek</t>
  </si>
  <si>
    <t>spojovací mostík - nosná konštrukcia - vodorovné plochy</t>
  </si>
  <si>
    <t>13,125*615,4=</t>
  </si>
  <si>
    <t>22040852</t>
  </si>
  <si>
    <t>2204085201</t>
  </si>
  <si>
    <t>Kryty dláždené,chodníkov komunikácií,rigolov - úprava škár pri opravách a vyplnenie škár elastickou zálievkou</t>
  </si>
  <si>
    <t>Kryty dláždené,chodníkov komunikácií,rigolov - úprava škár pri opravách a vyplnenie škár elastickou zálievkou s predtesnením</t>
  </si>
  <si>
    <t>vozovka-rímsa:     616+10+615,4+1=</t>
  </si>
  <si>
    <t>MZ:     11*11,75*2=</t>
  </si>
  <si>
    <t>2204085202</t>
  </si>
  <si>
    <t>Kryty dláždené,chodníkov komunikácií,rigolov - úprava škár pri opravách a vyplnenie škár elastickou zálievkou bez predtesnenia</t>
  </si>
  <si>
    <t>vozovka-rímsa, šírka 20 mm:     616+10+615,4+1=</t>
  </si>
  <si>
    <t>MZ, šírka20 mm:     11*11,75*2=</t>
  </si>
  <si>
    <t>trvalo pružná zálievka - rímsa:     0,95*11*2+1,01*11*2=</t>
  </si>
  <si>
    <t>22040851</t>
  </si>
  <si>
    <t>Kryty dláždené,chodníkov komunikácií,rigolov - úprava škár pri opravách a vyplnenie škár  asfaltovou zálievkou</t>
  </si>
  <si>
    <t>zálievka kryt vozovky:    10,75*2=</t>
  </si>
  <si>
    <t>spolu</t>
  </si>
  <si>
    <t>22250185</t>
  </si>
  <si>
    <t>Doplňujúce konštrukcie,  zábradlie , kompozitné</t>
  </si>
  <si>
    <t>2225018502</t>
  </si>
  <si>
    <t>Doplňujúce konštrukcie, zábradlie kompozité, cestné</t>
  </si>
  <si>
    <t xml:space="preserve">obrokovanie povrchu vyrovnávacej vrstvy:   13,12*(35,19+69,48+69,48+69,48+69,48+70,06+77,63+36,34+78,48+35,17)=  </t>
  </si>
  <si>
    <t>45.34.20</t>
  </si>
  <si>
    <t>Montáž oplotenia</t>
  </si>
  <si>
    <t>67110500</t>
  </si>
  <si>
    <t>Oplotenie,  vráta a vrátka oplotenia</t>
  </si>
  <si>
    <t>6711050002</t>
  </si>
  <si>
    <t>Oplotenie,  vráta a vrátka oplotenia  na stĺpiky oceľové</t>
  </si>
  <si>
    <t>22251287</t>
  </si>
  <si>
    <t>Doplňujúce konštrukcie,  kábelovody z rúr oceľových</t>
  </si>
  <si>
    <t>05020882</t>
  </si>
  <si>
    <t>Vybúranie konštrukcií a demontáže, vonkajších oceľových potrubí pre ďalšie použitie</t>
  </si>
  <si>
    <t>0502088210</t>
  </si>
  <si>
    <t>Vybúranie konštrukcií a demontáže, vonkajších oceľových potrubí pre ďalšie použitie, do 10 kg</t>
  </si>
  <si>
    <t>spevnenie pod mostom - výmena spevňujúcich dielcov:     1,5*(149+102)*0,1+1,5*(10,2+7,1)*0,5=</t>
  </si>
  <si>
    <t>prechodové bloky ríms:     (0,5+3,9)*0,15=</t>
  </si>
  <si>
    <t>medzi schodiskom a krídlom:     1,5*(10,2+7,1)*0,5*0,15=</t>
  </si>
  <si>
    <t>22040854</t>
  </si>
  <si>
    <t>Kryty dláždené,chodníkov komunikácií,rigolov - úprava škár pri opravách a vyplnenie škár maltou</t>
  </si>
  <si>
    <t>spevnenie pod mostom - doplnenie škárovania:     1,5*(149+102)*0,3=</t>
  </si>
  <si>
    <t>22251161</t>
  </si>
  <si>
    <t>Doplňujúce konštrukcie,  otvorené žľaby z betónových tvárnic</t>
  </si>
  <si>
    <t>2225116102</t>
  </si>
  <si>
    <t>Doplňujúce konštrukcie, otvorené žľaby z betónových tvárnic š. nad 500 mm</t>
  </si>
  <si>
    <t>22020417</t>
  </si>
  <si>
    <t>Podkladné a krycie vrstvy s hydraulickým spojivom, cementobetónové jednovrstvové, beton prostý</t>
  </si>
  <si>
    <t>22010102</t>
  </si>
  <si>
    <t>Podkladné a krycie vrstvy bez spojiva nestmelené, štrkopiesok</t>
  </si>
  <si>
    <t>kotviaci impregnačný náter</t>
  </si>
  <si>
    <t>vozovka-rímsa</t>
  </si>
  <si>
    <t>ľavá rímsa:     (616+10)*0,08=</t>
  </si>
  <si>
    <t>pravá rímsa:     (615,4+1)*0,08=</t>
  </si>
  <si>
    <t xml:space="preserve">náter na zlepšenie priľnavosti </t>
  </si>
  <si>
    <t>MZ</t>
  </si>
  <si>
    <t>ľavá rímsa:     0,96*11*2*0,02=</t>
  </si>
  <si>
    <t>pravá rímsa:     1,01*11*2*0,02=</t>
  </si>
  <si>
    <t>11*11,75*0,08</t>
  </si>
  <si>
    <t>rimsa - pracovná škára</t>
  </si>
  <si>
    <t>84010817</t>
  </si>
  <si>
    <t>Náter omietok a betónových povrchov, hydrofóbny náter</t>
  </si>
  <si>
    <t>8401081702</t>
  </si>
  <si>
    <t>Náter omietok a betónových povrchov, hydrofóbny náter ríms</t>
  </si>
  <si>
    <t>ľavá rímsa:     0,800*(35,19+69,48+69,48+69,48+69,48+70,06+77,63+36,34+78,488+35,17+2*3)=</t>
  </si>
  <si>
    <t>pravá rímsa:     0,850*(35,19+69,48+69,48+69,48+69,48+70,06+77,63+36,34+78,48+35,17+2*3)=</t>
  </si>
  <si>
    <t>ľavá rímsa:     616+3*2=</t>
  </si>
  <si>
    <t>pravá rímsa:     615,5+3*2=</t>
  </si>
  <si>
    <t>rímsa - rímsovy prefabrikat, šírka 20 mm</t>
  </si>
  <si>
    <t>rímsa - pracovná škára, šírka  5 mm, hĺbka 20 mm</t>
  </si>
  <si>
    <t>separácia</t>
  </si>
  <si>
    <t>kompozitné zábradlie vrátane povrchovej úpravy, krytiek na kotvy:     16,95+13,35=</t>
  </si>
  <si>
    <t>61010501</t>
  </si>
  <si>
    <t>Izolácie proti vode a zemnej vlhkosti, mostoviek náterivami a tmelmi</t>
  </si>
  <si>
    <t>6101050101</t>
  </si>
  <si>
    <t>Izolácie proti vode a zemnej vlhkosti, mostoviek náterivami a tmelmi na ploche vodorovnej</t>
  </si>
  <si>
    <t>1x asfaltovy + 2x penetracny nater</t>
  </si>
  <si>
    <t>6101050102</t>
  </si>
  <si>
    <t>Izolácie proti vode a zemnej vlhkosti, mostoviek náterivami a tmelmi na ploche zvislej</t>
  </si>
  <si>
    <t>6101050202</t>
  </si>
  <si>
    <t>Izolácie proti vode a zemnej vlhkosti, mostoviek pásmi na ploche zvislej</t>
  </si>
  <si>
    <t>ozub + opora:     11,15*1*2=</t>
  </si>
  <si>
    <t>demontáž oplotenia diaľnice, výška 1,75 m:    2,2*2=</t>
  </si>
  <si>
    <t>šetrná demontáž protidotykovej zábrany, zrkadlo mosta, po ukončení výstavby bude spätne osadená, dĺ. 24,0 m</t>
  </si>
  <si>
    <t>05030507</t>
  </si>
  <si>
    <t>Odstránenie spevnených plôch vozoviek a doplňujúcich konštrukcií, zvislého dopravného značenia, kovových</t>
  </si>
  <si>
    <t>Ø50 odvetrávacie otvory:     306*0,2=</t>
  </si>
  <si>
    <t>0509050002</t>
  </si>
  <si>
    <t>Jadrové vŕtanie od 50 mm do 100 mm</t>
  </si>
  <si>
    <t>Ø60 odvodňovacie rúrky:     59,0*0,2*2=</t>
  </si>
  <si>
    <t>Ø10 kotvenie siete NDS:     618*0,1=</t>
  </si>
  <si>
    <t>Ø10 kotvenie zábrany proti dotyku zrkadlo:     23*2*0,1=</t>
  </si>
  <si>
    <t xml:space="preserve">medzi schodiskom a spevnením:     0,3*16= </t>
  </si>
  <si>
    <t>prechodové bloky ríms štrkopiesok:     (0,5+3,9)*0,15=</t>
  </si>
  <si>
    <t>zábrana proti preliezaniu, na zvodidle:     623,0*0,9=</t>
  </si>
  <si>
    <t>drenážny kanálik:    88,6*0,045=</t>
  </si>
  <si>
    <t>21250906</t>
  </si>
  <si>
    <t>Doplňujúce konštrukcie, drobné zariadenia oceľové</t>
  </si>
  <si>
    <t>hliníková lišta na opore pre kábel teploty</t>
  </si>
  <si>
    <t xml:space="preserve">objímky, plech 2*515*50 </t>
  </si>
  <si>
    <t>45.26.13</t>
  </si>
  <si>
    <t>Klampiarske práce</t>
  </si>
  <si>
    <t>64040502</t>
  </si>
  <si>
    <t>Ostatné prvky, podkladový pás, plech hliníkový</t>
  </si>
  <si>
    <t>21250908</t>
  </si>
  <si>
    <t xml:space="preserve">Doplňujúce konštrukcie, zariadenia oceľové </t>
  </si>
  <si>
    <t>kotvenie objímky M8</t>
  </si>
  <si>
    <t>kotvenie zábrany proti dotyku zrkadlo:     23*2=</t>
  </si>
  <si>
    <t>kotvenie prekrytia zrkadla:     4*2=</t>
  </si>
  <si>
    <t>22010201</t>
  </si>
  <si>
    <t>Podkladné a krycie vrstvy bez spojiva, spevnenie krajníc zo zeminy</t>
  </si>
  <si>
    <t>2201020101</t>
  </si>
  <si>
    <t>Podkladné a krycie vrstvy bez spojiva, spevnenie krajníc zo zeminy so zhutnením</t>
  </si>
  <si>
    <t>dosypanie krajnice</t>
  </si>
  <si>
    <t>22010204</t>
  </si>
  <si>
    <t>Podkladné a krycie vrstvy bez spojiva, spevnenie krajníc, štrkodrva</t>
  </si>
  <si>
    <t>štrkodrva 0/22 hrúbka 100 mm:     188,41*0,1=</t>
  </si>
  <si>
    <t>štrkodrva 0/63 hrúbka 100 mm:     188,41*1,1*0,1=</t>
  </si>
  <si>
    <t>45.26.22</t>
  </si>
  <si>
    <t>Základové práce a vŕtanie vodných studní</t>
  </si>
  <si>
    <t>02010553</t>
  </si>
  <si>
    <t>Zlepšovanie základovej pôdy, drenážne vrstvy z geosyntetického materiálu</t>
  </si>
  <si>
    <t>0201055301</t>
  </si>
  <si>
    <t>Zlepšovanie základovej pôdy, drenážne vrstvy z geosyntetického materiálu - geotextílií</t>
  </si>
  <si>
    <t>separačná geotextília - oprava krajnice:     188,41*1,2=</t>
  </si>
  <si>
    <t>sanačný systém výstuže, odhad  0,5% plochy betónu</t>
  </si>
  <si>
    <t>šírka 100 mm:     6*2+10,64=</t>
  </si>
  <si>
    <t>02060922</t>
  </si>
  <si>
    <t>Spevňovanie hornín a konštrukcií, opláštenie, spevnenie striekaným železobetónom</t>
  </si>
  <si>
    <t>0206092206</t>
  </si>
  <si>
    <t>Spevňovanie hornín a konštrukcií, opláštenie, spevnenie striekaným železobetónom tr. C25/30 (B30)</t>
  </si>
  <si>
    <t>02060949</t>
  </si>
  <si>
    <t>Spevňovanie hornín a konštrukcií, opláštenie, spevnenie sieťovinou, rohožami</t>
  </si>
  <si>
    <t>0206094903</t>
  </si>
  <si>
    <t>Spevňovanie hornín a konštrukcií, opláštenie, spevnenie sieťovinou, rohožami - protierózny geokompozit vystužený oceľovou sieťovinou</t>
  </si>
  <si>
    <t>ľavá rímsa:     0,96*118=</t>
  </si>
  <si>
    <t>pravá rímsa:     1,01*118=</t>
  </si>
  <si>
    <t>pravá rímsa:     1,04*118=</t>
  </si>
  <si>
    <t>rímsa - pracovná škára, hĺbka 20 mm:     0,96*118+1,01*118=</t>
  </si>
  <si>
    <t>ľavá rímsa:     0,96*118*0,02=</t>
  </si>
  <si>
    <t>pravá rímsa:     1,01*118*0,02=</t>
  </si>
  <si>
    <t>2125042406</t>
  </si>
  <si>
    <t>Doplňujúce konštrukcie, dilatačné zariadenia, tesnenie dilatačných škár plechom</t>
  </si>
  <si>
    <t>odvoz nevhodnej zeminy zo stavby</t>
  </si>
  <si>
    <t>výkop jám</t>
  </si>
  <si>
    <t>výkop rýh</t>
  </si>
  <si>
    <t>odstránenie izolácie na moste</t>
  </si>
  <si>
    <t>podkladový betón:      24,62*2,5=</t>
  </si>
  <si>
    <t>mechanické čistenie:     22296,25*0,07=</t>
  </si>
  <si>
    <t>odstránenie povlakovej izolácie:     6565,99*0,073=</t>
  </si>
  <si>
    <t>betón vozovka:     235,0*0,44=</t>
  </si>
  <si>
    <t>štrkodrva vozovka:     305,5*0,4=</t>
  </si>
  <si>
    <t>betónové sklzy:     24,0*0,288=</t>
  </si>
  <si>
    <t>spevnenie pod mostom:     61,92*2,2=</t>
  </si>
  <si>
    <t>odvoz do obalovačky</t>
  </si>
  <si>
    <t>obrokovanie cementobetónového krytu:     8013,56*0,056=</t>
  </si>
  <si>
    <t>Zmluvné požiadavky poplatky za skládky travín, krovia, mačiny, lesnej hrabanky</t>
  </si>
  <si>
    <t xml:space="preserve">krycie plechy:     (0,88+0,93)*11= </t>
  </si>
  <si>
    <t>prechodová doska:     ((11,15*7)+(0,32*11,15)+(0,32*7,0*2))*2=</t>
  </si>
  <si>
    <t>ozub + opora:    (0,5+0,424+0,51)*11,15*2+0,195*4</t>
  </si>
  <si>
    <t>Ø10 kotvenie prekrytia zrkadla:     4*2*0,1=</t>
  </si>
  <si>
    <t>schody - podkladový betón C12/15:    (0,42+0,46+0,4+0,5+0,45)*1,15=</t>
  </si>
  <si>
    <t>(0,42+0,46+0,4+0,5+0,45)*2=</t>
  </si>
  <si>
    <t>demontáž protidotykovej zábrany, voľný okraj mosta, dĺ. 31 m, výška 2 m</t>
  </si>
  <si>
    <t>demontáž hlinikovej lišty s káblom k tabuli teploty, vyvesenie počas sanácie, dĺ. 15 m</t>
  </si>
  <si>
    <t>demontáž betónového zvodidla, správca si ponechá:     5*4=</t>
  </si>
  <si>
    <t>šetrná demontáž dopravných značiek, budú spätne osadené na nové stĺpiky</t>
  </si>
  <si>
    <t>búranie spevnenia pod mostom v mieste nových žľabov:     1,5*(149+102)*0,1*0,3=</t>
  </si>
  <si>
    <t>prechodová doska, zásyp nakupovanou zeminou:     8*13*2=</t>
  </si>
  <si>
    <t>zásyp pred prechodovou doskou, zásyp nakupovanou zeminou:       2*7,0*13=</t>
  </si>
  <si>
    <t>podpery, zásyp zeminou zo stavby:     (5+1,25)*2*0,3*0,6*16=</t>
  </si>
  <si>
    <t>odpočet zásypu podpier</t>
  </si>
  <si>
    <t>0106020401</t>
  </si>
  <si>
    <t>Premiestnenie  výkopku resp. rúbaniny, vodorovné nad 3 000 m, tr. horniny 1-4</t>
  </si>
  <si>
    <t>01040100</t>
  </si>
  <si>
    <t>Konštrukcie z hornín - skládky</t>
  </si>
  <si>
    <t>0104010007</t>
  </si>
  <si>
    <t>Konštrukcie z hornín - skládky  tr.horniny 1-4</t>
  </si>
  <si>
    <t>medziskládka pre zeminu do zásypov podpier</t>
  </si>
  <si>
    <t>01060203</t>
  </si>
  <si>
    <t>Premiestnenie  vodorovné do 3 000 m</t>
  </si>
  <si>
    <t>0106020301</t>
  </si>
  <si>
    <t>Premiestnenie  výkopku resp. rúbaniny vodorovné do 3 000 m, tr. horniny 1-4</t>
  </si>
  <si>
    <t>zemina do zásypov na medziskládku a späť</t>
  </si>
  <si>
    <t>zemina do zásypov</t>
  </si>
  <si>
    <t>2125052801</t>
  </si>
  <si>
    <t>Doplňujúce konštrukcie, mostné zábrany a ochrany, protidotykové zábrany, štít</t>
  </si>
  <si>
    <t>oceľový plech</t>
  </si>
  <si>
    <t xml:space="preserve">oceľová sieť     </t>
  </si>
  <si>
    <t>čistenie ložísk, odhad:      10*17*2*0,3*0,3=</t>
  </si>
  <si>
    <t>11090311</t>
  </si>
  <si>
    <t>Schodiskové konštrukcie, stupne, výstuž z betonárskej ocele</t>
  </si>
  <si>
    <t>Schodiskové konštrukcie, stupne, výstuž z betonárskej ocele 10505</t>
  </si>
  <si>
    <t>1109031106</t>
  </si>
  <si>
    <t>výstuž B500B :         (302,57+230,82)/1000=</t>
  </si>
  <si>
    <t xml:space="preserve"> </t>
  </si>
  <si>
    <t>11030432</t>
  </si>
  <si>
    <t>Stĺpy, piliere, vzpery a rámové stojky (pozemné stavby) plotové oceľové</t>
  </si>
  <si>
    <t>1103043201</t>
  </si>
  <si>
    <t>Stĺpy, piliere, vzpery a rámové stojky (pozemné stavby) plotové oceľové, zabetónovanie pätky</t>
  </si>
  <si>
    <t>67110109</t>
  </si>
  <si>
    <t>Oplotenie  z drôteného pletiva poplastovaného</t>
  </si>
  <si>
    <t>6711010902</t>
  </si>
  <si>
    <t>Oplotenie  z drôteného pletiva poplastovaného, na stĺpiky oceľové</t>
  </si>
  <si>
    <t>84010952</t>
  </si>
  <si>
    <t xml:space="preserve">Náter povrchov strojov a zariadení, metalizácia </t>
  </si>
  <si>
    <t>8401095202</t>
  </si>
  <si>
    <t>Náter povrchov strojov a zariadení, metalizácia zinkom</t>
  </si>
  <si>
    <t>náter mostných záverov:     13,12*11*0,3*2=</t>
  </si>
  <si>
    <t>odvodňovač vrátane rúr</t>
  </si>
  <si>
    <t>01030302</t>
  </si>
  <si>
    <t>Hĺbené vykopávky šachiet nezapažených</t>
  </si>
  <si>
    <t>0103030207</t>
  </si>
  <si>
    <t>Hĺbené vykopávky šachiet nezapažených, tr. horniny 1-4</t>
  </si>
  <si>
    <t>výkop šachiet</t>
  </si>
  <si>
    <t>00010403</t>
  </si>
  <si>
    <t>Zmluvné požiadavky poplatky za skládky zeminy</t>
  </si>
  <si>
    <t>45.26.23</t>
  </si>
  <si>
    <t>Betonárske práce</t>
  </si>
  <si>
    <t>11190201</t>
  </si>
  <si>
    <t>Kompletné konštrukcie, kompletné čistiace a zachytávacie objekty, z betónu prostého</t>
  </si>
  <si>
    <t>1119020107</t>
  </si>
  <si>
    <t>Kompletné konštrukcie, kompletné čistiace a zachytávacie objekty z betónu prostého, tr. C 30/37 (B 35)</t>
  </si>
  <si>
    <t>11190211</t>
  </si>
  <si>
    <t>Kompletné konštrukcie, kompletné čistiace a zachytávacie objekty, debnenie tradičné</t>
  </si>
  <si>
    <t>1119021101</t>
  </si>
  <si>
    <t>Kompletné konštrukcie, kompletné čistiace a zachytávacie objekty, debnenie tradičné drevené</t>
  </si>
  <si>
    <t>betón C30/37 vsakovacej jamy</t>
  </si>
  <si>
    <t>02010103</t>
  </si>
  <si>
    <t>Zlepšovanie základovej pôdy, výplň odvodňovacích rebier alebo trativodov kamenivom drveným</t>
  </si>
  <si>
    <t>0201010303</t>
  </si>
  <si>
    <t>Zlepšovanie základovej pôdy, výplň odvodňovacích rebier alebo trativodov kamenivom drveným fr. 32/64 mm</t>
  </si>
  <si>
    <t>výplň rozptylových vsakovacích jám, štrkodrva 32/64</t>
  </si>
  <si>
    <t>00080300</t>
  </si>
  <si>
    <t>Vplyv pracovného prostredia, železničná a mestská koľajová prevádzka</t>
  </si>
  <si>
    <t>mostné zvodidlo:     1248,0*0,083=</t>
  </si>
  <si>
    <t>oplotenie:     4,4*1,75*0,01=</t>
  </si>
  <si>
    <t>zvodidlo cestné:     56,0*0,042=</t>
  </si>
  <si>
    <t>do zberných surovín spolu</t>
  </si>
  <si>
    <t>bránka oplotenia:     1*0,8*1,75=</t>
  </si>
  <si>
    <t>stĺpiky oplotenia diaľnice:     4+3=</t>
  </si>
  <si>
    <t>spätná montáž chráničiek s káblami ISD:      625,0*2=</t>
  </si>
  <si>
    <t>nová pancierová chránička</t>
  </si>
  <si>
    <t>náter mostných záverov 100 µm:     13,12*11*0,3*2=</t>
  </si>
  <si>
    <t>1108022107</t>
  </si>
  <si>
    <t>Vodorovné nosné konštrukcie inžinierskych stavieb, mostné dosky, výstuž z betonárskej ocele zo zváraných sietí</t>
  </si>
  <si>
    <t>protidotyková zábrana:     31,0*2,0*0,001=</t>
  </si>
  <si>
    <t>odvoz bet. zvodidiel správcovi:      20,0*2,088/4=</t>
  </si>
  <si>
    <t>Doplňujúce konštrukcie, dodatočné zaliatie kotevných otvorov</t>
  </si>
  <si>
    <t>21250910</t>
  </si>
  <si>
    <t>91250908</t>
  </si>
  <si>
    <t>Elektrizácia železníc - trakčné vedenie, vodiče TV, funkčný súbor 9 zostavy TV (bleskoistky, ukoľajnenia, ostatné konštrukcie)</t>
  </si>
  <si>
    <t>9125090804</t>
  </si>
  <si>
    <t>Elektrizácia železníc - trakčné vedenie, vodiče TV, funkčný súbor 9 zostavy TV (bleskoistky, ukoľajnenia, ostatné konštrukcie), ukoľajnenie s prierazkou</t>
  </si>
  <si>
    <t>ukoľajnenie</t>
  </si>
  <si>
    <t>45.23.41</t>
  </si>
  <si>
    <t>Stavebné práce na stavbe železníc</t>
  </si>
  <si>
    <t>betónové sklzy :    (25+15)*2*0,6=</t>
  </si>
  <si>
    <t>sklzy:     (15+25+10,5+7,5)*2*0,6*0,5=</t>
  </si>
  <si>
    <t xml:space="preserve">betónové žľabovky š= 600 mm:     (15+25+10,5+7,5)*2= </t>
  </si>
  <si>
    <t>sklzy podkladný betón:    (15+25+10,5+7,5)*2*0,7*0,15=</t>
  </si>
  <si>
    <t>zábrana proti preliezaniu na stĺpikoch:     2,2*2*1,85=</t>
  </si>
  <si>
    <t>oplotenie v päte svahu:    2,2*2*1,85=</t>
  </si>
  <si>
    <t>výkop pre vsakovacie jamy:     2,5*1,8*1,1*4=</t>
  </si>
  <si>
    <t>(1,6*0,4*1,3+1,6*0,25*1,1*2+1,6*0,3*1,1)*4=</t>
  </si>
  <si>
    <t>vsakovacie jamy:     (1,6*1,3+1,6*1,1*2*2+1,6*1,1+1,3*1,1+1,1*1,1)*4=</t>
  </si>
  <si>
    <t>1,1*1,6*0,5*4=</t>
  </si>
  <si>
    <t>fólia separačná na dne vsakovacej jamy:     1,5*2,0*4=</t>
  </si>
  <si>
    <t>2202041706</t>
  </si>
  <si>
    <t>Podkladné a krycie vrstvy s hydraulickým spojivom, cementobetónové jednovrstvové, beton prostý tr. IV   C30/37 (B 35)</t>
  </si>
  <si>
    <t>Oprava diaľničného mosta ev. č. D2-069, ľavý most</t>
  </si>
  <si>
    <t>201-00</t>
  </si>
  <si>
    <t>Most ev. č. D2-069, ľavý most</t>
  </si>
  <si>
    <t>šetrné búranie ríms</t>
  </si>
  <si>
    <t>lešenie, plošiny, prístup k NK a pilierom zospodu, mobilné plošiny pre vykonanie sanačných prác a prác počas opravy mosta</t>
  </si>
  <si>
    <t>výluky železničnej dopravy, vrátane prekovania a odsúhlsenia so ŽSR</t>
  </si>
  <si>
    <t>zvodidlo s vodorovnou výplňou, vrátane kotvenia, PKO, podliatia plastmaltou, komplet dodávka</t>
  </si>
  <si>
    <t>zábrana proti padaniu snehu:     22,0+22,0=44,0 m</t>
  </si>
  <si>
    <t>zvislé rúry mostných odvodňovačov d 150 mm vrátane napojenia odvodňovača na zvislú rúru :     2,1*44=</t>
  </si>
  <si>
    <t>pred výstavbou presun chráničky s káblami ISD na vnútornú rímsu pravého mosta, poskončení výstavby presun naspäť</t>
  </si>
  <si>
    <t>pred výstavbou presun chráničky s káblami ISD na vnútornú rímsu pravého mosta, poskončení výstavby presun naspäť:     2*625,0=</t>
  </si>
  <si>
    <t>súbor lepených kotiev ríms, vrátane vŕtania, lepenia a ostatných potrebných činností pre kotvenie časti rímsy v dĺžke 1 m so zhustením pred MZ</t>
  </si>
  <si>
    <t>1x penetračný + 2x asfaltový nater</t>
  </si>
  <si>
    <t>stĺpiky zábrany proti preliezaniu:     2*3=</t>
  </si>
  <si>
    <t>sanácia spodných plôch 2 krajných nosníkov na oboch stranách mosta maltou triedy R4:   2,5*616*2*0,05=</t>
  </si>
  <si>
    <t>výstužná sieťovina pre sanáciu spodných plôch 2 krajných nosníkov na oboch stranách mosta:     2,5*616*2=</t>
  </si>
  <si>
    <t>vozovka most:    (6637,0+53,75*16)*2=</t>
  </si>
  <si>
    <t>dočasné ochranné opatrenia nad traťou ŽSR (dočasná ochrana proti dotyku živých častí a proti padaniu materialu na trať ŽSR) vrátane výluk</t>
  </si>
  <si>
    <t>dočasná ochranná sieť nad traťou ŽSR, cestou III. triedy a miestnou komunikáciou</t>
  </si>
  <si>
    <t>okolo odvodňovačov:     44*2*(0,3+0,5)=</t>
  </si>
  <si>
    <t>dlažba pod mostom: (146+100)*2</t>
  </si>
  <si>
    <t>bezdilatačné styky</t>
  </si>
  <si>
    <t>LM (0,5*0,10*1,01+6*0,125*0,075*0,10)*10=</t>
  </si>
  <si>
    <t>LM B500 B, bezdilatačné styky 0,05*10=</t>
  </si>
  <si>
    <t>škára, bezdilatačné styky EPS polystyrén hr. 30 mm</t>
  </si>
  <si>
    <t>61010503</t>
  </si>
  <si>
    <t>Izolácie proti vode a zemnej vlhkosti, mostoviek fóliami</t>
  </si>
  <si>
    <t>6101050302</t>
  </si>
  <si>
    <t>Izolácie proti vode a zemnej vlhkosti, mostoviek fóliami na ploche zvislej</t>
  </si>
  <si>
    <t xml:space="preserve">bezdilatačné styky - neoprén   </t>
  </si>
  <si>
    <t xml:space="preserve">45.32.12 </t>
  </si>
  <si>
    <t xml:space="preserve">Ostatné izolačné práce </t>
  </si>
  <si>
    <t>61050505</t>
  </si>
  <si>
    <t>Izolácie proti chemickým vplyvom, technologických zariadení, ochrannými a podkladnými textíliami</t>
  </si>
  <si>
    <t>separačná vrstva z jutovej tkaniny - tiahla bezdilatačných stykov</t>
  </si>
  <si>
    <t>84010207</t>
  </si>
  <si>
    <t>Náter kovových doplnkových konštr., farba epoxidová</t>
  </si>
  <si>
    <t>8401020702</t>
  </si>
  <si>
    <t>Náter kovových doplnkových konštr., farba epoxidová, jednonásobný</t>
  </si>
  <si>
    <t>Antikorózny náter- tiahla bezdilatačných stykov</t>
  </si>
  <si>
    <t>84010214</t>
  </si>
  <si>
    <t>Náter kovových doplnkových konštr., lak asfaltový</t>
  </si>
  <si>
    <t>8401021405</t>
  </si>
  <si>
    <t>Náter kovových doplnkových konštr., lak asfaltový. štvornásobný</t>
  </si>
  <si>
    <t>separačný náter- tiahla bezdilatačných stykov</t>
  </si>
  <si>
    <t>2*(0,06+0,01)*1,0*22*3=</t>
  </si>
  <si>
    <t>2*(0,125+0,05)*1,33*22=</t>
  </si>
  <si>
    <t>bezdilatačný styk - pásy 60x10x1200 mm, S235 JRG</t>
  </si>
  <si>
    <t>0,95*1,33*22=</t>
  </si>
  <si>
    <t>0,153*1,33*22+2*0,14*0,15*3*22=</t>
  </si>
  <si>
    <t>vyrovnávací betón - priemernej hrúbky  65 mm, šetrné búranie:    0,8*(35,19+69,48+69,48+69,48+69,48+70,06+77,63+36,34+78,48+35,17)*0,065=</t>
  </si>
  <si>
    <t>železobetón:     (85,66+401,53)*2,4=</t>
  </si>
  <si>
    <t>asfaltový betón 90 mm, budú sa búrať dve vrstvy:     (2*13,6*11,75)*2=</t>
  </si>
  <si>
    <t>vozovka na moste, budú sa búrať dve vrstvy:     10,75*(35,19+69,48+69,48+69,48+69,48+70,06+77,63+36,34+78,48+35,17)*2=</t>
  </si>
  <si>
    <t>vozovka - most pred frézovaním, vozovky, zarezanie hlbka 100 mm šírka 10 mm:     11,75*2*11*2=</t>
  </si>
  <si>
    <t>odpočet ručného búrania vozovky na moste:     -11,75*2*11*2=</t>
  </si>
  <si>
    <t>05030163</t>
  </si>
  <si>
    <t>0503016301</t>
  </si>
  <si>
    <t>Ručné odstránenie spevnených plôch vozoviek a doplňujúcich konštrukcií krytov bitúmenových</t>
  </si>
  <si>
    <t>Ručné odstránenie spevnených plôch vozoviek a doplňujúcich konštrukcií krytov bitúmenových hr.do 100 mm</t>
  </si>
  <si>
    <t>ručné búranie vozovky na dĺžke 1,0 m pred MZ</t>
  </si>
  <si>
    <t>frézovaný asfalt:    1175,0*0,112+13597,29*0,127=</t>
  </si>
  <si>
    <t>asfalt spolu</t>
  </si>
  <si>
    <t>vyrovnávací betón:</t>
  </si>
  <si>
    <t>vozovka kryt - most, hlbka 40 mm šírka 10 mm:     11,75*2*11*2=</t>
  </si>
  <si>
    <t>vypracovanie DVP 3 x v tlačenej + 1 x v digit.forme</t>
  </si>
  <si>
    <t>zaliatie 50% otvorov kotiev mostných záverov vrátane vybratia a vyčistenia:    13*11*2/0,25*0,2/2=</t>
  </si>
  <si>
    <t>SMA 11 PMB, MK</t>
  </si>
  <si>
    <t>2203074405</t>
  </si>
  <si>
    <t>Podkladné a krycie vrstvy z asfaltových zmesí, liaty asfalt cestný strednozrnný modifikovaný</t>
  </si>
  <si>
    <t>2203074406</t>
  </si>
  <si>
    <t>Podkladné a krycie vrstvy z asfaltových zmesí, liaty asfalt cestný hrubozrnný modifikovaný</t>
  </si>
  <si>
    <t>liaty asfalt MA16 PMB, MO - 45 mm:     (6637,0+53,75*16-81,64)*0,045=</t>
  </si>
  <si>
    <t>2203033004</t>
  </si>
  <si>
    <t>Podkladné a krycie vrstvy z asfaltových zmesí, bitúmenové postreky, nátery, posypy spojovací postrek z modifikovanej emulzie</t>
  </si>
  <si>
    <t>drva 4/8 mm</t>
  </si>
  <si>
    <t>modifikovaná asfaltová emulzia PSE-M, CBP, 0,3 kg/m2</t>
  </si>
  <si>
    <t xml:space="preserve">NAIP, hr. 5 mm </t>
  </si>
  <si>
    <t>jednovrstvový sanačný systém do 20 mm 30%:     8,2*615,4*0,3*0,02=</t>
  </si>
  <si>
    <t>dvojvrstvový sanačný systém od 20 mm do 50 mm 30%:     8,2*615,4*0,3*0,05=</t>
  </si>
  <si>
    <t>viacvrstvový sanačný systém nad 50 mm 40%:     8,2*615,4*0,4*0,07=</t>
  </si>
  <si>
    <t>jednovrstvový sanačný systém do 20 mm 60%:     141,0*0,6*0,02=</t>
  </si>
  <si>
    <t>dvojvrstvový sanačný systém od 20 mm do 50 mm 20%:     141,0*0,2*0,05=</t>
  </si>
  <si>
    <t>viacvrstvový sanačný systém nad 50 mm 20%:     141,0*0,2*0,07=</t>
  </si>
  <si>
    <t>jednovrstvový sanačný systém do 20 mm :     338*0,6*0,02=</t>
  </si>
  <si>
    <t>jednovrstvový sanačný systém do 50 mm:     338*0,2*0,05=</t>
  </si>
  <si>
    <t>viacvrstvový sanačný systém nad 50 mm:     338*0,2*0,07=</t>
  </si>
  <si>
    <t>jednovrstvový sanačný systém do 20 mm 60%:     4,87*615,4*0,6*0,02=</t>
  </si>
  <si>
    <t>dvojvrstvový sanačný systém od 20 mm do 50 mm 20%:     4,87*615,4*0,2*0,05=</t>
  </si>
  <si>
    <t xml:space="preserve">viacvrstvový sanačný systém nad 50 mm 20%:     4,87*615,4*0,2*0,07= </t>
  </si>
  <si>
    <t>jednovrstvový sanačný systém do 20 mm 60%:     (2636+(5+1,25)*2*0,15*16)*0,6*0,02=</t>
  </si>
  <si>
    <t>dvojvrstvový sanačný systém od 20 mm do 50 mm 20%:     (2636+(5+1,25)*2*0,15*16)*0,2*0,05=</t>
  </si>
  <si>
    <t>viacvrstvový sanačný systém nad 50 mm 20%:     (2636+(5+1,25)*2*0,15*16)*0,2*0,07=</t>
  </si>
  <si>
    <t>84010818</t>
  </si>
  <si>
    <t>Náter betónových konštrukcií mostov zjednocujúci</t>
  </si>
  <si>
    <t>kompatibilný s použitým sanačným systémom</t>
  </si>
  <si>
    <t>vo farebnom odtieni pôvodného betónového povrchu</t>
  </si>
  <si>
    <t>zvislé plochy</t>
  </si>
  <si>
    <t>podhľady</t>
  </si>
  <si>
    <t>nosná konštrukcia:     8,2*615,4*1,0=</t>
  </si>
  <si>
    <t>spodná stavba:     141,0*1,0=</t>
  </si>
  <si>
    <t>vodorovné plochy</t>
  </si>
  <si>
    <t>spodná stavba:     338,0*1,0=</t>
  </si>
  <si>
    <t>sanačná vrstva vyrovnávacieho betónu, malta triedy R4:
 35,0*13,12*0,05=</t>
  </si>
  <si>
    <t>Všeobecné položky</t>
  </si>
  <si>
    <t>suť</t>
  </si>
  <si>
    <t>nevhodná zemina zo stavby</t>
  </si>
  <si>
    <t>000- 00</t>
  </si>
  <si>
    <t>11,75*2*11=</t>
  </si>
  <si>
    <t>ručne búraný asfalt:     11,75*2*11*0,181=</t>
  </si>
  <si>
    <t>túto položku nebolo potrebné opraviť, nakoľko sa jedná o hrúbku 100 mm búrania a položka je 50mm</t>
  </si>
  <si>
    <t>21250426</t>
  </si>
  <si>
    <t>Doplňujúce konštrukcie, dilatačné zariadenia, mostné závery povrchové posun</t>
  </si>
  <si>
    <t>2125042602</t>
  </si>
  <si>
    <t>Doplňujúce konštrukcie, dilatačné zariadenia, mostné závery povrchové posun do 100 mm</t>
  </si>
  <si>
    <t>odvodňovač vrátane rúr:     34,0*0,25=</t>
  </si>
  <si>
    <t>predĺženie spevnenia:     0,68*15,65=</t>
  </si>
  <si>
    <t>31200101</t>
  </si>
  <si>
    <t>Podkladné konštrukcie pod dlažbu, štrkopiesok</t>
  </si>
  <si>
    <t>3120010101</t>
  </si>
  <si>
    <t>Podkladné konštrukcie pod dlažbu, štrkopiesok hr. do 200 mm</t>
  </si>
  <si>
    <t>podklad pod predĺžením spevnenia:     0,68*15,65*0,15=</t>
  </si>
  <si>
    <t>nová položka</t>
  </si>
  <si>
    <t>podklad pod spevnením pod mostom - výmena spevňujúcich dielcov:     (1,5*(149+102)*0,1+1,5*(10,2+7,1)*0,5)*0,15=</t>
  </si>
  <si>
    <t>0,04*1,0*0,7*1239=</t>
  </si>
  <si>
    <t>výkres č. 8:     4,02*2=</t>
  </si>
  <si>
    <t>mostný záver:     13,5*0,2=</t>
  </si>
  <si>
    <t>11200401</t>
  </si>
  <si>
    <t>Podkladné konštrukcie, vyrovnávacie konštrukcie, betón prostý</t>
  </si>
  <si>
    <t>1120040107</t>
  </si>
  <si>
    <t>Podkladné konštrukcie, vyrovnávacie konštrukcie, betón prostý tr. C 30/37 (B 35)</t>
  </si>
  <si>
    <t>medzi schodiskom a spevnením:     0,3*16*0,15=</t>
  </si>
  <si>
    <t>podklad pod aktuálnu 45. položku</t>
  </si>
  <si>
    <t>doplnený popis</t>
  </si>
  <si>
    <t>nová položka, podklad pod aktuálnou položkou 93</t>
  </si>
  <si>
    <t>oprava</t>
  </si>
  <si>
    <t>vybúranie 1ks MZ č. 8 typ RW dĺžky  13,5 m (vrátane existujúceho oceľového lôžka)</t>
  </si>
  <si>
    <t>nový mostný záver č. 8, komplet dodávka vrátane oceľového lôžka, PKO, kotvenia MZ</t>
  </si>
  <si>
    <t>našla som chybu, opravené</t>
  </si>
  <si>
    <t>Obnova PKO oceľových lôžok MZ vrátane demontáže modulov, opieskovania oceľových častí  a spätnej montáže existujúcich modulov</t>
  </si>
  <si>
    <t>nerezové odvodňovacie rúrky dĺžky 2150 mm, 59 kusov, vrátane dodávky a montáže:      2,15*59=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</si>
</sst>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S_k_-;\-* #,##0.00\ _S_k_-;_-* &quot;-&quot;??\ _S_k_-;_-@_-"/>
    <numFmt numFmtId="165" formatCode="00000000"/>
    <numFmt numFmtId="166" formatCode="0000000000"/>
    <numFmt numFmtId="167" formatCode="#,##0.000"/>
    <numFmt numFmtId="168" formatCode="0.000"/>
  </numFmts>
  <fonts count="53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T*Switzerland Narrow"/>
      <charset val="238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i/>
      <sz val="10"/>
      <color rgb="FF7030A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 CE"/>
      <family val="2"/>
      <charset val="238"/>
    </font>
    <font>
      <i/>
      <u/>
      <sz val="10"/>
      <color indexed="12"/>
      <name val="Arial"/>
      <family val="2"/>
      <charset val="238"/>
    </font>
    <font>
      <b/>
      <sz val="11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rgb="FF7030A0"/>
      <name val="Arial Narrow"/>
      <family val="2"/>
      <charset val="238"/>
    </font>
    <font>
      <b/>
      <sz val="11"/>
      <color rgb="FF7030A0"/>
      <name val="Arial CE"/>
      <family val="2"/>
      <charset val="238"/>
    </font>
    <font>
      <b/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8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"/>
      <family val="2"/>
    </font>
    <font>
      <sz val="11"/>
      <color rgb="FFFF0000"/>
      <name val="Arial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i/>
      <u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FF0000"/>
      <name val="Arial CE"/>
      <family val="2"/>
      <charset val="238"/>
    </font>
    <font>
      <sz val="8"/>
      <color rgb="FFFF0000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9" fillId="0" borderId="0">
      <alignment horizontal="center" vertical="center" wrapText="1"/>
    </xf>
    <xf numFmtId="0" fontId="13" fillId="0" borderId="0"/>
    <xf numFmtId="0" fontId="8" fillId="0" borderId="0"/>
  </cellStyleXfs>
  <cellXfs count="296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2" fillId="0" borderId="14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49" fontId="7" fillId="0" borderId="13" xfId="0" quotePrefix="1" applyNumberFormat="1" applyFont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  <xf numFmtId="49" fontId="8" fillId="0" borderId="15" xfId="0" quotePrefix="1" applyNumberFormat="1" applyFont="1" applyBorder="1" applyAlignment="1">
      <alignment horizontal="left" vertical="top"/>
    </xf>
    <xf numFmtId="49" fontId="8" fillId="0" borderId="13" xfId="0" applyNumberFormat="1" applyFont="1" applyBorder="1" applyAlignment="1">
      <alignment horizontal="left" vertical="top"/>
    </xf>
    <xf numFmtId="4" fontId="0" fillId="0" borderId="0" xfId="0" applyNumberFormat="1"/>
    <xf numFmtId="4" fontId="5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 vertical="top"/>
    </xf>
    <xf numFmtId="49" fontId="3" fillId="0" borderId="12" xfId="0" applyNumberFormat="1" applyFont="1" applyBorder="1" applyAlignment="1">
      <alignment horizontal="left" vertical="top"/>
    </xf>
    <xf numFmtId="49" fontId="3" fillId="0" borderId="13" xfId="0" applyNumberFormat="1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/>
    </xf>
    <xf numFmtId="4" fontId="5" fillId="0" borderId="1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center" vertical="top"/>
    </xf>
    <xf numFmtId="49" fontId="8" fillId="0" borderId="13" xfId="0" quotePrefix="1" applyNumberFormat="1" applyFont="1" applyBorder="1" applyAlignment="1">
      <alignment horizontal="left" vertical="top"/>
    </xf>
    <xf numFmtId="0" fontId="8" fillId="0" borderId="13" xfId="0" applyFont="1" applyBorder="1" applyAlignment="1">
      <alignment horizontal="center" vertical="top"/>
    </xf>
    <xf numFmtId="49" fontId="12" fillId="0" borderId="13" xfId="0" quotePrefix="1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4" fontId="14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15" fillId="0" borderId="4" xfId="0" applyNumberFormat="1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left" vertical="top" wrapText="1"/>
    </xf>
    <xf numFmtId="49" fontId="16" fillId="0" borderId="13" xfId="0" applyNumberFormat="1" applyFont="1" applyBorder="1" applyAlignment="1">
      <alignment horizontal="left" vertical="top"/>
    </xf>
    <xf numFmtId="49" fontId="15" fillId="0" borderId="13" xfId="0" applyNumberFormat="1" applyFont="1" applyBorder="1" applyAlignment="1">
      <alignment horizontal="center" vertical="top"/>
    </xf>
    <xf numFmtId="49" fontId="15" fillId="0" borderId="16" xfId="0" applyNumberFormat="1" applyFont="1" applyBorder="1" applyAlignment="1">
      <alignment horizontal="center" vertical="top" wrapText="1"/>
    </xf>
    <xf numFmtId="49" fontId="17" fillId="0" borderId="13" xfId="0" applyNumberFormat="1" applyFont="1" applyBorder="1" applyAlignment="1">
      <alignment vertical="top"/>
    </xf>
    <xf numFmtId="49" fontId="17" fillId="0" borderId="13" xfId="0" applyNumberFormat="1" applyFont="1" applyBorder="1" applyAlignment="1">
      <alignment horizontal="left" vertical="top"/>
    </xf>
    <xf numFmtId="49" fontId="17" fillId="0" borderId="2" xfId="0" applyNumberFormat="1" applyFont="1" applyBorder="1" applyAlignment="1">
      <alignment vertical="top"/>
    </xf>
    <xf numFmtId="0" fontId="0" fillId="0" borderId="13" xfId="0" applyBorder="1"/>
    <xf numFmtId="49" fontId="15" fillId="0" borderId="13" xfId="0" applyNumberFormat="1" applyFont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left" vertical="top" wrapText="1"/>
    </xf>
    <xf numFmtId="49" fontId="18" fillId="0" borderId="13" xfId="0" applyNumberFormat="1" applyFont="1" applyBorder="1" applyAlignment="1">
      <alignment horizontal="left" vertical="top"/>
    </xf>
    <xf numFmtId="49" fontId="20" fillId="0" borderId="15" xfId="0" applyNumberFormat="1" applyFont="1" applyBorder="1" applyAlignment="1">
      <alignment horizontal="left" vertical="top"/>
    </xf>
    <xf numFmtId="49" fontId="20" fillId="0" borderId="13" xfId="0" applyNumberFormat="1" applyFont="1" applyBorder="1" applyAlignment="1">
      <alignment horizontal="center" vertical="top"/>
    </xf>
    <xf numFmtId="49" fontId="16" fillId="0" borderId="15" xfId="0" applyNumberFormat="1" applyFont="1" applyBorder="1" applyAlignment="1">
      <alignment horizontal="left" vertical="top"/>
    </xf>
    <xf numFmtId="166" fontId="21" fillId="0" borderId="15" xfId="0" applyNumberFormat="1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left" vertical="top"/>
    </xf>
    <xf numFmtId="4" fontId="22" fillId="0" borderId="15" xfId="0" applyNumberFormat="1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3" fillId="0" borderId="2" xfId="0" applyNumberFormat="1" applyFont="1" applyBorder="1" applyAlignment="1">
      <alignment horizontal="left" vertical="top" wrapText="1"/>
    </xf>
    <xf numFmtId="4" fontId="21" fillId="0" borderId="6" xfId="0" applyNumberFormat="1" applyFont="1" applyBorder="1" applyAlignment="1">
      <alignment horizontal="center" vertical="top"/>
    </xf>
    <xf numFmtId="4" fontId="24" fillId="0" borderId="6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 wrapText="1"/>
    </xf>
    <xf numFmtId="49" fontId="21" fillId="0" borderId="2" xfId="0" applyNumberFormat="1" applyFont="1" applyBorder="1" applyAlignment="1">
      <alignment horizontal="left" vertical="top" wrapText="1"/>
    </xf>
    <xf numFmtId="49" fontId="25" fillId="0" borderId="2" xfId="0" applyNumberFormat="1" applyFont="1" applyBorder="1" applyAlignment="1">
      <alignment horizontal="left" vertical="top" wrapText="1"/>
    </xf>
    <xf numFmtId="49" fontId="21" fillId="0" borderId="13" xfId="0" applyNumberFormat="1" applyFont="1" applyBorder="1" applyAlignment="1">
      <alignment horizontal="left" vertical="top"/>
    </xf>
    <xf numFmtId="4" fontId="26" fillId="0" borderId="6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left" vertical="top"/>
    </xf>
    <xf numFmtId="165" fontId="21" fillId="0" borderId="13" xfId="0" applyNumberFormat="1" applyFont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left" vertical="top"/>
    </xf>
    <xf numFmtId="0" fontId="8" fillId="0" borderId="16" xfId="0" applyFont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" fontId="7" fillId="0" borderId="6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/>
    </xf>
    <xf numFmtId="4" fontId="8" fillId="0" borderId="6" xfId="0" applyNumberFormat="1" applyFont="1" applyBorder="1" applyAlignment="1">
      <alignment horizontal="center" vertical="top"/>
    </xf>
    <xf numFmtId="49" fontId="29" fillId="0" borderId="4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6" fontId="30" fillId="0" borderId="2" xfId="0" applyNumberFormat="1" applyFont="1" applyBorder="1" applyAlignment="1">
      <alignment horizontal="left" vertical="center"/>
    </xf>
    <xf numFmtId="0" fontId="30" fillId="0" borderId="13" xfId="0" applyFont="1" applyBorder="1" applyAlignment="1">
      <alignment horizontal="center" vertical="top"/>
    </xf>
    <xf numFmtId="4" fontId="30" fillId="0" borderId="6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left" vertical="top"/>
    </xf>
    <xf numFmtId="0" fontId="30" fillId="0" borderId="2" xfId="0" applyFont="1" applyBorder="1" applyAlignment="1">
      <alignment vertical="center"/>
    </xf>
    <xf numFmtId="0" fontId="11" fillId="0" borderId="2" xfId="0" applyFont="1" applyBorder="1" applyAlignment="1">
      <alignment vertical="top" wrapText="1"/>
    </xf>
    <xf numFmtId="49" fontId="8" fillId="0" borderId="2" xfId="0" quotePrefix="1" applyNumberFormat="1" applyFont="1" applyBorder="1" applyAlignment="1">
      <alignment horizontal="left" vertical="top"/>
    </xf>
    <xf numFmtId="0" fontId="8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right" vertical="top" wrapText="1"/>
    </xf>
    <xf numFmtId="49" fontId="31" fillId="0" borderId="13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4" fontId="23" fillId="0" borderId="6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>
      <alignment horizontal="left" vertical="top"/>
    </xf>
    <xf numFmtId="4" fontId="26" fillId="0" borderId="0" xfId="0" applyNumberFormat="1" applyFont="1" applyAlignment="1">
      <alignment horizontal="center" vertical="top"/>
    </xf>
    <xf numFmtId="167" fontId="21" fillId="0" borderId="6" xfId="0" applyNumberFormat="1" applyFont="1" applyBorder="1" applyAlignment="1">
      <alignment horizontal="center" vertical="center"/>
    </xf>
    <xf numFmtId="167" fontId="24" fillId="0" borderId="6" xfId="0" applyNumberFormat="1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center" vertical="top"/>
    </xf>
    <xf numFmtId="4" fontId="21" fillId="0" borderId="20" xfId="0" applyNumberFormat="1" applyFont="1" applyBorder="1" applyAlignment="1">
      <alignment horizontal="center" vertical="top"/>
    </xf>
    <xf numFmtId="4" fontId="24" fillId="0" borderId="20" xfId="0" applyNumberFormat="1" applyFont="1" applyBorder="1" applyAlignment="1">
      <alignment horizontal="center" vertical="top"/>
    </xf>
    <xf numFmtId="4" fontId="21" fillId="0" borderId="7" xfId="0" applyNumberFormat="1" applyFont="1" applyBorder="1" applyAlignment="1">
      <alignment horizontal="center" vertical="top"/>
    </xf>
    <xf numFmtId="0" fontId="34" fillId="0" borderId="13" xfId="0" quotePrefix="1" applyFont="1" applyBorder="1" applyAlignment="1">
      <alignment vertical="top" wrapText="1"/>
    </xf>
    <xf numFmtId="0" fontId="34" fillId="0" borderId="13" xfId="0" applyFont="1" applyBorder="1" applyAlignment="1">
      <alignment horizontal="left" vertical="top" wrapText="1"/>
    </xf>
    <xf numFmtId="0" fontId="34" fillId="0" borderId="13" xfId="0" quotePrefix="1" applyFont="1" applyBorder="1" applyAlignment="1">
      <alignment horizontal="center" vertical="top" wrapText="1"/>
    </xf>
    <xf numFmtId="0" fontId="13" fillId="0" borderId="13" xfId="0" quotePrefix="1" applyFont="1" applyBorder="1" applyAlignment="1">
      <alignment horizontal="left" vertical="top" wrapText="1"/>
    </xf>
    <xf numFmtId="0" fontId="13" fillId="0" borderId="13" xfId="0" quotePrefix="1" applyFont="1" applyBorder="1" applyAlignment="1">
      <alignment horizontal="center" vertical="top" wrapText="1"/>
    </xf>
    <xf numFmtId="0" fontId="15" fillId="0" borderId="0" xfId="0" applyFont="1"/>
    <xf numFmtId="49" fontId="20" fillId="0" borderId="13" xfId="0" applyNumberFormat="1" applyFont="1" applyBorder="1" applyAlignment="1">
      <alignment horizontal="left" vertical="top"/>
    </xf>
    <xf numFmtId="49" fontId="33" fillId="0" borderId="15" xfId="0" quotePrefix="1" applyNumberFormat="1" applyFont="1" applyBorder="1" applyAlignment="1">
      <alignment horizontal="left" vertical="top"/>
    </xf>
    <xf numFmtId="49" fontId="33" fillId="0" borderId="15" xfId="0" quotePrefix="1" applyNumberFormat="1" applyFont="1" applyBorder="1" applyAlignment="1">
      <alignment horizontal="left" vertical="top" wrapText="1"/>
    </xf>
    <xf numFmtId="49" fontId="35" fillId="0" borderId="13" xfId="0" applyNumberFormat="1" applyFont="1" applyBorder="1" applyAlignment="1">
      <alignment horizontal="left" vertical="top"/>
    </xf>
    <xf numFmtId="49" fontId="2" fillId="0" borderId="21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left" vertical="center" wrapText="1"/>
    </xf>
    <xf numFmtId="49" fontId="23" fillId="0" borderId="4" xfId="0" applyNumberFormat="1" applyFont="1" applyBorder="1" applyAlignment="1">
      <alignment horizontal="center" vertical="top" wrapText="1"/>
    </xf>
    <xf numFmtId="49" fontId="23" fillId="0" borderId="13" xfId="0" applyNumberFormat="1" applyFont="1" applyBorder="1" applyAlignment="1">
      <alignment horizontal="left" vertical="top"/>
    </xf>
    <xf numFmtId="49" fontId="26" fillId="0" borderId="13" xfId="0" applyNumberFormat="1" applyFont="1" applyBorder="1" applyAlignment="1">
      <alignment horizontal="left" vertical="top"/>
    </xf>
    <xf numFmtId="49" fontId="23" fillId="0" borderId="13" xfId="0" applyNumberFormat="1" applyFont="1" applyBorder="1" applyAlignment="1">
      <alignment horizontal="center" vertical="top"/>
    </xf>
    <xf numFmtId="0" fontId="26" fillId="0" borderId="0" xfId="0" applyFont="1"/>
    <xf numFmtId="0" fontId="21" fillId="0" borderId="16" xfId="0" applyFont="1" applyBorder="1" applyAlignment="1">
      <alignment horizontal="center" vertical="top"/>
    </xf>
    <xf numFmtId="49" fontId="21" fillId="0" borderId="13" xfId="0" applyNumberFormat="1" applyFont="1" applyBorder="1" applyAlignment="1">
      <alignment horizontal="left" vertical="top" wrapText="1"/>
    </xf>
    <xf numFmtId="49" fontId="24" fillId="0" borderId="13" xfId="0" applyNumberFormat="1" applyFont="1" applyBorder="1" applyAlignment="1">
      <alignment horizontal="left" vertical="top"/>
    </xf>
    <xf numFmtId="49" fontId="24" fillId="0" borderId="13" xfId="0" applyNumberFormat="1" applyFont="1" applyBorder="1" applyAlignment="1">
      <alignment horizontal="center" vertical="center"/>
    </xf>
    <xf numFmtId="167" fontId="21" fillId="0" borderId="6" xfId="0" applyNumberFormat="1" applyFont="1" applyBorder="1" applyAlignment="1">
      <alignment horizontal="center" vertical="top"/>
    </xf>
    <xf numFmtId="0" fontId="26" fillId="0" borderId="0" xfId="0" applyFont="1" applyAlignment="1">
      <alignment vertical="top"/>
    </xf>
    <xf numFmtId="49" fontId="24" fillId="0" borderId="13" xfId="0" applyNumberFormat="1" applyFont="1" applyBorder="1" applyAlignment="1">
      <alignment horizontal="center" vertical="top"/>
    </xf>
    <xf numFmtId="167" fontId="24" fillId="0" borderId="6" xfId="0" applyNumberFormat="1" applyFont="1" applyBorder="1" applyAlignment="1">
      <alignment horizontal="center" vertical="top"/>
    </xf>
    <xf numFmtId="0" fontId="36" fillId="0" borderId="0" xfId="0" applyFont="1" applyAlignment="1">
      <alignment vertical="top"/>
    </xf>
    <xf numFmtId="49" fontId="21" fillId="0" borderId="16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0" fontId="38" fillId="0" borderId="0" xfId="0" applyFont="1"/>
    <xf numFmtId="4" fontId="26" fillId="0" borderId="0" xfId="0" applyNumberFormat="1" applyFont="1"/>
    <xf numFmtId="0" fontId="23" fillId="0" borderId="0" xfId="0" applyFont="1"/>
    <xf numFmtId="0" fontId="37" fillId="0" borderId="0" xfId="0" applyFont="1"/>
    <xf numFmtId="49" fontId="39" fillId="0" borderId="13" xfId="0" applyNumberFormat="1" applyFont="1" applyBorder="1" applyAlignment="1">
      <alignment horizontal="center" vertical="top"/>
    </xf>
    <xf numFmtId="49" fontId="40" fillId="0" borderId="13" xfId="0" applyNumberFormat="1" applyFont="1" applyBorder="1" applyAlignment="1">
      <alignment horizontal="center" vertical="top"/>
    </xf>
    <xf numFmtId="168" fontId="41" fillId="0" borderId="0" xfId="0" applyNumberFormat="1" applyFont="1" applyAlignment="1">
      <alignment horizontal="center" vertical="center"/>
    </xf>
    <xf numFmtId="49" fontId="11" fillId="0" borderId="13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 wrapText="1"/>
    </xf>
    <xf numFmtId="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49" fontId="24" fillId="0" borderId="0" xfId="0" applyNumberFormat="1" applyFont="1" applyAlignment="1">
      <alignment horizontal="left" vertical="top" wrapText="1"/>
    </xf>
    <xf numFmtId="4" fontId="1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left" vertical="top" wrapText="1"/>
    </xf>
    <xf numFmtId="4" fontId="8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49" fontId="5" fillId="0" borderId="0" xfId="0" applyNumberFormat="1" applyFont="1" applyAlignment="1">
      <alignment horizontal="right" vertical="center" wrapText="1"/>
    </xf>
    <xf numFmtId="4" fontId="22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49" fontId="8" fillId="0" borderId="0" xfId="0" quotePrefix="1" applyNumberFormat="1" applyFont="1" applyAlignment="1">
      <alignment horizontal="left" vertical="top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top" wrapText="1"/>
    </xf>
    <xf numFmtId="0" fontId="34" fillId="0" borderId="0" xfId="0" quotePrefix="1" applyFont="1" applyAlignment="1">
      <alignment vertical="top" wrapText="1"/>
    </xf>
    <xf numFmtId="0" fontId="13" fillId="0" borderId="0" xfId="0" quotePrefix="1" applyFont="1" applyAlignment="1">
      <alignment vertical="top" wrapText="1"/>
    </xf>
    <xf numFmtId="49" fontId="17" fillId="0" borderId="0" xfId="0" applyNumberFormat="1" applyFont="1" applyAlignment="1">
      <alignment vertical="top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9" fontId="4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43" fillId="0" borderId="0" xfId="0" applyFont="1"/>
    <xf numFmtId="0" fontId="43" fillId="0" borderId="0" xfId="0" applyFont="1" applyAlignment="1">
      <alignment vertical="top"/>
    </xf>
    <xf numFmtId="4" fontId="43" fillId="0" borderId="0" xfId="0" applyNumberFormat="1" applyFont="1" applyAlignment="1">
      <alignment horizontal="center" vertical="top"/>
    </xf>
    <xf numFmtId="49" fontId="4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49" fontId="45" fillId="0" borderId="1" xfId="0" applyNumberFormat="1" applyFont="1" applyBorder="1" applyAlignment="1">
      <alignment horizontal="center" vertical="center"/>
    </xf>
    <xf numFmtId="49" fontId="42" fillId="0" borderId="4" xfId="0" applyNumberFormat="1" applyFont="1" applyBorder="1" applyAlignment="1">
      <alignment horizontal="center" vertical="center" wrapText="1"/>
    </xf>
    <xf numFmtId="49" fontId="44" fillId="0" borderId="10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/>
    </xf>
    <xf numFmtId="49" fontId="13" fillId="0" borderId="12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168" fontId="13" fillId="0" borderId="0" xfId="0" applyNumberFormat="1" applyFont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9" fontId="42" fillId="0" borderId="5" xfId="0" applyNumberFormat="1" applyFont="1" applyBorder="1" applyAlignment="1">
      <alignment horizontal="center" vertical="center" wrapText="1"/>
    </xf>
    <xf numFmtId="49" fontId="44" fillId="0" borderId="11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/>
    </xf>
    <xf numFmtId="49" fontId="13" fillId="0" borderId="21" xfId="0" applyNumberFormat="1" applyFont="1" applyBorder="1" applyAlignment="1">
      <alignment horizontal="left" vertical="center"/>
    </xf>
    <xf numFmtId="49" fontId="13" fillId="0" borderId="22" xfId="0" applyNumberFormat="1" applyFont="1" applyBorder="1" applyAlignment="1">
      <alignment horizontal="left" vertical="center" wrapText="1"/>
    </xf>
    <xf numFmtId="168" fontId="13" fillId="0" borderId="22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top"/>
    </xf>
    <xf numFmtId="0" fontId="0" fillId="2" borderId="0" xfId="0" applyFill="1"/>
    <xf numFmtId="0" fontId="26" fillId="2" borderId="0" xfId="0" applyFont="1" applyFill="1"/>
    <xf numFmtId="0" fontId="0" fillId="2" borderId="0" xfId="0" applyFill="1" applyAlignment="1">
      <alignment wrapText="1"/>
    </xf>
    <xf numFmtId="0" fontId="46" fillId="0" borderId="16" xfId="0" applyFont="1" applyBorder="1" applyAlignment="1">
      <alignment horizontal="center" vertical="top"/>
    </xf>
    <xf numFmtId="49" fontId="46" fillId="0" borderId="13" xfId="0" applyNumberFormat="1" applyFont="1" applyBorder="1" applyAlignment="1">
      <alignment horizontal="left" vertical="top" wrapText="1"/>
    </xf>
    <xf numFmtId="165" fontId="46" fillId="0" borderId="13" xfId="0" applyNumberFormat="1" applyFont="1" applyBorder="1" applyAlignment="1">
      <alignment horizontal="left" vertical="top" wrapText="1"/>
    </xf>
    <xf numFmtId="166" fontId="46" fillId="0" borderId="15" xfId="0" applyNumberFormat="1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13" xfId="0" applyFont="1" applyBorder="1" applyAlignment="1">
      <alignment horizontal="center" vertical="top" wrapText="1"/>
    </xf>
    <xf numFmtId="167" fontId="46" fillId="0" borderId="6" xfId="0" applyNumberFormat="1" applyFont="1" applyBorder="1" applyAlignment="1">
      <alignment horizontal="center" vertical="top"/>
    </xf>
    <xf numFmtId="49" fontId="46" fillId="0" borderId="4" xfId="0" applyNumberFormat="1" applyFont="1" applyBorder="1" applyAlignment="1">
      <alignment horizontal="center" vertical="top" wrapText="1"/>
    </xf>
    <xf numFmtId="49" fontId="47" fillId="0" borderId="2" xfId="0" applyNumberFormat="1" applyFont="1" applyBorder="1" applyAlignment="1">
      <alignment horizontal="left" vertical="top" wrapText="1"/>
    </xf>
    <xf numFmtId="49" fontId="46" fillId="0" borderId="13" xfId="0" applyNumberFormat="1" applyFont="1" applyBorder="1" applyAlignment="1">
      <alignment horizontal="left" vertical="top"/>
    </xf>
    <xf numFmtId="49" fontId="33" fillId="0" borderId="13" xfId="0" applyNumberFormat="1" applyFont="1" applyBorder="1" applyAlignment="1">
      <alignment horizontal="left" vertical="top"/>
    </xf>
    <xf numFmtId="49" fontId="33" fillId="0" borderId="0" xfId="0" applyNumberFormat="1" applyFont="1" applyAlignment="1">
      <alignment horizontal="left" vertical="top" wrapText="1"/>
    </xf>
    <xf numFmtId="49" fontId="33" fillId="0" borderId="13" xfId="0" applyNumberFormat="1" applyFont="1" applyBorder="1" applyAlignment="1">
      <alignment horizontal="center" vertical="top"/>
    </xf>
    <xf numFmtId="167" fontId="33" fillId="0" borderId="6" xfId="0" applyNumberFormat="1" applyFont="1" applyBorder="1" applyAlignment="1">
      <alignment horizontal="center" vertical="top"/>
    </xf>
    <xf numFmtId="49" fontId="48" fillId="0" borderId="0" xfId="0" applyNumberFormat="1" applyFont="1" applyAlignment="1">
      <alignment horizontal="left" vertical="top" wrapText="1"/>
    </xf>
    <xf numFmtId="4" fontId="48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49" fontId="48" fillId="0" borderId="0" xfId="0" applyNumberFormat="1" applyFont="1" applyAlignment="1">
      <alignment horizontal="right" vertical="top" wrapText="1"/>
    </xf>
    <xf numFmtId="4" fontId="49" fillId="0" borderId="15" xfId="0" applyNumberFormat="1" applyFont="1" applyBorder="1" applyAlignment="1">
      <alignment horizontal="center" vertical="center"/>
    </xf>
    <xf numFmtId="49" fontId="48" fillId="0" borderId="0" xfId="0" applyNumberFormat="1" applyFont="1" applyAlignment="1">
      <alignment horizontal="right" vertical="center" wrapText="1"/>
    </xf>
    <xf numFmtId="4" fontId="48" fillId="0" borderId="15" xfId="0" applyNumberFormat="1" applyFont="1" applyBorder="1" applyAlignment="1">
      <alignment horizontal="center" vertical="center"/>
    </xf>
    <xf numFmtId="49" fontId="46" fillId="0" borderId="2" xfId="0" applyNumberFormat="1" applyFont="1" applyBorder="1" applyAlignment="1">
      <alignment horizontal="left" vertical="top" wrapText="1"/>
    </xf>
    <xf numFmtId="49" fontId="46" fillId="0" borderId="13" xfId="0" quotePrefix="1" applyNumberFormat="1" applyFont="1" applyBorder="1" applyAlignment="1">
      <alignment horizontal="left" vertical="top"/>
    </xf>
    <xf numFmtId="0" fontId="46" fillId="0" borderId="0" xfId="0" applyFont="1" applyAlignment="1">
      <alignment vertical="top" wrapText="1"/>
    </xf>
    <xf numFmtId="0" fontId="46" fillId="0" borderId="0" xfId="0" applyFont="1" applyAlignment="1">
      <alignment wrapText="1"/>
    </xf>
    <xf numFmtId="0" fontId="46" fillId="0" borderId="13" xfId="0" applyFont="1" applyBorder="1" applyAlignment="1">
      <alignment horizontal="center" vertical="top"/>
    </xf>
    <xf numFmtId="4" fontId="46" fillId="0" borderId="6" xfId="0" applyNumberFormat="1" applyFont="1" applyBorder="1" applyAlignment="1">
      <alignment horizontal="center" vertical="top"/>
    </xf>
    <xf numFmtId="49" fontId="46" fillId="0" borderId="16" xfId="0" applyNumberFormat="1" applyFont="1" applyBorder="1" applyAlignment="1">
      <alignment horizontal="center" vertical="top" wrapText="1"/>
    </xf>
    <xf numFmtId="49" fontId="47" fillId="0" borderId="0" xfId="0" applyNumberFormat="1" applyFont="1" applyAlignment="1">
      <alignment horizontal="left" vertical="top" wrapText="1"/>
    </xf>
    <xf numFmtId="49" fontId="33" fillId="0" borderId="13" xfId="0" quotePrefix="1" applyNumberFormat="1" applyFont="1" applyBorder="1" applyAlignment="1">
      <alignment horizontal="left" vertical="top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wrapText="1"/>
    </xf>
    <xf numFmtId="0" fontId="33" fillId="0" borderId="13" xfId="0" applyFont="1" applyBorder="1" applyAlignment="1">
      <alignment horizontal="center" vertical="top"/>
    </xf>
    <xf numFmtId="0" fontId="46" fillId="0" borderId="13" xfId="0" applyFont="1" applyBorder="1" applyAlignment="1">
      <alignment horizontal="left" vertical="top" wrapText="1"/>
    </xf>
    <xf numFmtId="49" fontId="50" fillId="0" borderId="4" xfId="0" applyNumberFormat="1" applyFont="1" applyBorder="1" applyAlignment="1">
      <alignment horizontal="center" vertical="top" wrapText="1"/>
    </xf>
    <xf numFmtId="49" fontId="50" fillId="0" borderId="2" xfId="0" applyNumberFormat="1" applyFont="1" applyBorder="1" applyAlignment="1">
      <alignment horizontal="left" vertical="top" wrapText="1"/>
    </xf>
    <xf numFmtId="49" fontId="50" fillId="0" borderId="13" xfId="0" applyNumberFormat="1" applyFont="1" applyBorder="1" applyAlignment="1">
      <alignment horizontal="left" vertical="top"/>
    </xf>
    <xf numFmtId="0" fontId="48" fillId="0" borderId="0" xfId="0" applyFont="1"/>
    <xf numFmtId="0" fontId="48" fillId="0" borderId="0" xfId="0" applyFont="1" applyAlignment="1">
      <alignment vertical="center" wrapText="1"/>
    </xf>
    <xf numFmtId="0" fontId="46" fillId="0" borderId="2" xfId="0" applyFont="1" applyBorder="1" applyAlignment="1">
      <alignment vertical="top" wrapText="1"/>
    </xf>
    <xf numFmtId="49" fontId="18" fillId="0" borderId="2" xfId="0" applyNumberFormat="1" applyFont="1" applyBorder="1" applyAlignment="1">
      <alignment horizontal="left" vertical="top" wrapText="1"/>
    </xf>
    <xf numFmtId="49" fontId="18" fillId="0" borderId="13" xfId="0" applyNumberFormat="1" applyFont="1" applyBorder="1" applyAlignment="1">
      <alignment horizontal="center" vertical="top"/>
    </xf>
    <xf numFmtId="49" fontId="50" fillId="0" borderId="16" xfId="0" applyNumberFormat="1" applyFont="1" applyBorder="1" applyAlignment="1">
      <alignment horizontal="center" vertical="top" wrapText="1"/>
    </xf>
    <xf numFmtId="49" fontId="51" fillId="0" borderId="2" xfId="0" applyNumberFormat="1" applyFont="1" applyBorder="1" applyAlignment="1">
      <alignment vertical="top"/>
    </xf>
    <xf numFmtId="49" fontId="51" fillId="0" borderId="13" xfId="0" applyNumberFormat="1" applyFont="1" applyBorder="1" applyAlignment="1">
      <alignment vertical="top"/>
    </xf>
    <xf numFmtId="49" fontId="51" fillId="0" borderId="13" xfId="0" applyNumberFormat="1" applyFont="1" applyBorder="1" applyAlignment="1">
      <alignment horizontal="left" vertical="top"/>
    </xf>
    <xf numFmtId="49" fontId="50" fillId="0" borderId="13" xfId="0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left" vertical="top" wrapText="1"/>
    </xf>
    <xf numFmtId="0" fontId="52" fillId="0" borderId="0" xfId="0" applyFont="1" applyAlignment="1">
      <alignment vertical="center"/>
    </xf>
    <xf numFmtId="49" fontId="45" fillId="0" borderId="8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4" fontId="45" fillId="0" borderId="18" xfId="0" applyNumberFormat="1" applyFont="1" applyBorder="1" applyAlignment="1">
      <alignment horizontal="center" vertical="center"/>
    </xf>
    <xf numFmtId="4" fontId="45" fillId="0" borderId="19" xfId="0" applyNumberFormat="1" applyFont="1" applyBorder="1" applyAlignment="1">
      <alignment horizontal="center" vertical="center"/>
    </xf>
    <xf numFmtId="4" fontId="32" fillId="0" borderId="18" xfId="0" applyNumberFormat="1" applyFont="1" applyBorder="1" applyAlignment="1">
      <alignment horizontal="center" vertical="top"/>
    </xf>
    <xf numFmtId="4" fontId="32" fillId="0" borderId="1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</cellXfs>
  <cellStyles count="5">
    <cellStyle name="Čiarka 2" xfId="1" xr:uid="{00000000-0005-0000-0000-000000000000}"/>
    <cellStyle name="Normal_035-00, 036-00, 037-00" xfId="2" xr:uid="{00000000-0005-0000-0000-000001000000}"/>
    <cellStyle name="Normálna" xfId="0" builtinId="0"/>
    <cellStyle name="Normálna 2 2" xfId="3" xr:uid="{00000000-0005-0000-0000-000002000000}"/>
    <cellStyle name="Normálna 4" xfId="4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EBE3-0A56-4447-9661-9E840970DA20}">
  <dimension ref="A1:H49"/>
  <sheetViews>
    <sheetView topLeftCell="A34" zoomScaleNormal="100" workbookViewId="0">
      <selection activeCell="E18" sqref="E18"/>
    </sheetView>
  </sheetViews>
  <sheetFormatPr defaultColWidth="9.140625" defaultRowHeight="15.75"/>
  <cols>
    <col min="1" max="1" width="5.7109375" style="226" customWidth="1"/>
    <col min="2" max="2" width="11.7109375" style="1" customWidth="1"/>
    <col min="3" max="3" width="11.7109375" style="2" customWidth="1"/>
    <col min="4" max="4" width="11.7109375" style="18" customWidth="1"/>
    <col min="5" max="5" width="53.85546875" style="3" customWidth="1"/>
    <col min="6" max="6" width="11.7109375" customWidth="1"/>
    <col min="7" max="7" width="4.7109375" style="105" customWidth="1"/>
    <col min="8" max="8" width="11.7109375" style="227" customWidth="1"/>
  </cols>
  <sheetData>
    <row r="1" spans="1:8" ht="15">
      <c r="A1" s="200"/>
      <c r="B1" s="201" t="s">
        <v>0</v>
      </c>
      <c r="C1" s="202"/>
      <c r="D1" s="201"/>
      <c r="E1" s="126" t="s">
        <v>706</v>
      </c>
      <c r="F1" s="203"/>
      <c r="G1" s="204"/>
      <c r="H1" s="205"/>
    </row>
    <row r="2" spans="1:8" ht="15">
      <c r="A2" s="200"/>
      <c r="B2" s="201"/>
      <c r="C2" s="202"/>
      <c r="D2" s="201"/>
      <c r="E2" s="202"/>
      <c r="F2" s="203"/>
      <c r="G2" s="204"/>
      <c r="H2" s="205"/>
    </row>
    <row r="3" spans="1:8" ht="15">
      <c r="A3" s="200"/>
      <c r="B3" s="201" t="s">
        <v>1</v>
      </c>
      <c r="C3" s="202"/>
      <c r="D3" s="202" t="s">
        <v>813</v>
      </c>
      <c r="E3" s="202" t="s">
        <v>810</v>
      </c>
      <c r="F3" s="203"/>
      <c r="G3" s="204"/>
      <c r="H3" s="205"/>
    </row>
    <row r="4" spans="1:8" ht="16.5" thickBot="1">
      <c r="A4" s="200"/>
      <c r="B4" s="206"/>
      <c r="C4" s="207"/>
      <c r="D4" s="208"/>
      <c r="E4" s="201"/>
      <c r="F4" s="203"/>
      <c r="G4" s="204"/>
      <c r="H4" s="205"/>
    </row>
    <row r="5" spans="1:8" ht="15">
      <c r="A5" s="282" t="s">
        <v>2</v>
      </c>
      <c r="B5" s="284" t="s">
        <v>3</v>
      </c>
      <c r="C5" s="284"/>
      <c r="D5" s="284"/>
      <c r="E5" s="284" t="s">
        <v>4</v>
      </c>
      <c r="F5" s="284"/>
      <c r="G5" s="284" t="s">
        <v>5</v>
      </c>
      <c r="H5" s="286" t="s">
        <v>6</v>
      </c>
    </row>
    <row r="6" spans="1:8" ht="15">
      <c r="A6" s="283"/>
      <c r="B6" s="285" t="s">
        <v>7</v>
      </c>
      <c r="C6" s="285"/>
      <c r="D6" s="209" t="s">
        <v>8</v>
      </c>
      <c r="E6" s="285"/>
      <c r="F6" s="285"/>
      <c r="G6" s="285"/>
      <c r="H6" s="287"/>
    </row>
    <row r="7" spans="1:8">
      <c r="A7" s="210"/>
      <c r="B7" s="211"/>
      <c r="C7" s="212"/>
      <c r="D7" s="213"/>
      <c r="E7" s="214"/>
      <c r="F7" s="215"/>
      <c r="G7" s="216"/>
      <c r="H7" s="217"/>
    </row>
    <row r="8" spans="1:8" s="204" customFormat="1" ht="30">
      <c r="A8" s="137"/>
      <c r="B8" s="69" t="s">
        <v>21</v>
      </c>
      <c r="C8" s="138"/>
      <c r="D8" s="139"/>
      <c r="E8" s="163" t="s">
        <v>130</v>
      </c>
      <c r="F8" s="164"/>
      <c r="G8" s="140"/>
      <c r="H8" s="106"/>
    </row>
    <row r="9" spans="1:8" s="105" customFormat="1" ht="12.75" customHeight="1">
      <c r="A9" s="142">
        <f>MAX(A$2:A8)+1</f>
        <v>1</v>
      </c>
      <c r="B9" s="143" t="s">
        <v>21</v>
      </c>
      <c r="C9" s="78" t="s">
        <v>151</v>
      </c>
      <c r="D9" s="60"/>
      <c r="E9" s="165" t="s">
        <v>152</v>
      </c>
      <c r="F9" s="165"/>
      <c r="G9" s="61" t="s">
        <v>50</v>
      </c>
      <c r="H9" s="115">
        <f>H10</f>
        <v>1</v>
      </c>
    </row>
    <row r="10" spans="1:8" s="204" customFormat="1" ht="15" customHeight="1">
      <c r="A10" s="72"/>
      <c r="B10" s="74"/>
      <c r="C10" s="75"/>
      <c r="D10" s="144" t="s">
        <v>151</v>
      </c>
      <c r="E10" s="166" t="s">
        <v>152</v>
      </c>
      <c r="F10" s="141"/>
      <c r="G10" s="145" t="s">
        <v>50</v>
      </c>
      <c r="H10" s="116">
        <v>1</v>
      </c>
    </row>
    <row r="11" spans="1:8" s="105" customFormat="1" ht="12.75" customHeight="1">
      <c r="A11" s="35"/>
      <c r="B11" s="27"/>
      <c r="C11" s="26"/>
      <c r="D11" s="21"/>
      <c r="E11" s="8" t="s">
        <v>771</v>
      </c>
      <c r="F11"/>
      <c r="G11" s="62"/>
      <c r="H11" s="116"/>
    </row>
    <row r="12" spans="1:8" ht="15">
      <c r="A12" s="142">
        <f>MAX(A$2:A10)+1</f>
        <v>2</v>
      </c>
      <c r="B12" s="143" t="s">
        <v>21</v>
      </c>
      <c r="C12" s="78" t="s">
        <v>153</v>
      </c>
      <c r="D12" s="60"/>
      <c r="E12" s="165" t="s">
        <v>154</v>
      </c>
      <c r="F12" s="165"/>
      <c r="G12" s="61" t="s">
        <v>50</v>
      </c>
      <c r="H12" s="146">
        <f>H13</f>
        <v>1</v>
      </c>
    </row>
    <row r="13" spans="1:8">
      <c r="A13" s="72"/>
      <c r="B13" s="74"/>
      <c r="C13" s="75"/>
      <c r="D13" s="144" t="s">
        <v>153</v>
      </c>
      <c r="E13" s="166" t="s">
        <v>154</v>
      </c>
      <c r="F13" s="147"/>
      <c r="G13" s="148" t="s">
        <v>50</v>
      </c>
      <c r="H13" s="149">
        <v>1</v>
      </c>
    </row>
    <row r="14" spans="1:8" s="204" customFormat="1">
      <c r="A14" s="35"/>
      <c r="B14" s="27"/>
      <c r="C14" s="26"/>
      <c r="D14" s="20"/>
      <c r="E14" s="8" t="s">
        <v>155</v>
      </c>
      <c r="F14" s="162"/>
      <c r="G14" s="43"/>
      <c r="H14" s="70"/>
    </row>
    <row r="15" spans="1:8" s="105" customFormat="1">
      <c r="A15" s="35"/>
      <c r="B15" s="27"/>
      <c r="C15" s="26"/>
      <c r="D15" s="21"/>
      <c r="E15" s="8" t="s">
        <v>156</v>
      </c>
      <c r="F15" s="162"/>
      <c r="G15" s="43"/>
      <c r="H15" s="70"/>
    </row>
    <row r="16" spans="1:8" ht="15">
      <c r="A16" s="44"/>
      <c r="B16" s="45"/>
      <c r="C16" s="26"/>
      <c r="D16" s="59"/>
      <c r="E16" s="8" t="s">
        <v>157</v>
      </c>
      <c r="F16" s="167"/>
      <c r="G16" s="47"/>
      <c r="H16" s="106"/>
    </row>
    <row r="17" spans="1:8" ht="25.5">
      <c r="A17" s="142">
        <f>MAX(A$2:A16)+1</f>
        <v>3</v>
      </c>
      <c r="B17" s="143" t="s">
        <v>21</v>
      </c>
      <c r="C17" s="78" t="s">
        <v>22</v>
      </c>
      <c r="D17" s="60"/>
      <c r="E17" s="165" t="s">
        <v>23</v>
      </c>
      <c r="F17" s="165"/>
      <c r="G17" s="61" t="s">
        <v>16</v>
      </c>
      <c r="H17" s="146">
        <f>H18</f>
        <v>4088.36</v>
      </c>
    </row>
    <row r="18" spans="1:8" ht="25.5">
      <c r="A18" s="72"/>
      <c r="B18" s="74"/>
      <c r="C18" s="75"/>
      <c r="D18" s="144" t="s">
        <v>22</v>
      </c>
      <c r="E18" s="166" t="s">
        <v>23</v>
      </c>
      <c r="F18" s="147"/>
      <c r="G18" s="148" t="s">
        <v>16</v>
      </c>
      <c r="H18" s="149">
        <f>ROUND(F19,2)</f>
        <v>4088.36</v>
      </c>
    </row>
    <row r="19" spans="1:8" s="105" customFormat="1">
      <c r="A19" s="35"/>
      <c r="B19" s="27"/>
      <c r="C19" s="26"/>
      <c r="D19" s="21"/>
      <c r="E19" s="8" t="s">
        <v>811</v>
      </c>
      <c r="F19" s="168">
        <f>'069'!F105</f>
        <v>4088.3561299999997</v>
      </c>
      <c r="G19" s="43"/>
      <c r="H19" s="70"/>
    </row>
    <row r="20" spans="1:8" s="204" customFormat="1" ht="15">
      <c r="A20" s="142">
        <f>MAX(A$2:A18)+1</f>
        <v>4</v>
      </c>
      <c r="B20" s="143" t="s">
        <v>21</v>
      </c>
      <c r="C20" s="78" t="s">
        <v>651</v>
      </c>
      <c r="D20" s="60"/>
      <c r="E20" s="165" t="s">
        <v>652</v>
      </c>
      <c r="F20" s="165"/>
      <c r="G20" s="61" t="s">
        <v>10</v>
      </c>
      <c r="H20" s="146">
        <f>H21</f>
        <v>479.82</v>
      </c>
    </row>
    <row r="21" spans="1:8" s="105" customFormat="1">
      <c r="A21" s="72"/>
      <c r="B21" s="74"/>
      <c r="C21" s="75"/>
      <c r="D21" s="144" t="s">
        <v>651</v>
      </c>
      <c r="E21" s="166" t="s">
        <v>652</v>
      </c>
      <c r="F21" s="147"/>
      <c r="G21" s="148" t="s">
        <v>10</v>
      </c>
      <c r="H21" s="149">
        <f>ROUND(F22,2)</f>
        <v>479.82</v>
      </c>
    </row>
    <row r="22" spans="1:8" s="105" customFormat="1">
      <c r="A22" s="35"/>
      <c r="B22" s="27"/>
      <c r="C22" s="26"/>
      <c r="D22" s="21"/>
      <c r="E22" s="8" t="s">
        <v>812</v>
      </c>
      <c r="F22" s="168">
        <f>'069'!F226</f>
        <v>479.81999999999994</v>
      </c>
      <c r="G22" s="43"/>
      <c r="H22" s="70"/>
    </row>
    <row r="23" spans="1:8" ht="25.5">
      <c r="A23" s="142">
        <f>MAX(A$2:A21)+1</f>
        <v>5</v>
      </c>
      <c r="B23" s="143" t="s">
        <v>21</v>
      </c>
      <c r="C23" s="78" t="s">
        <v>24</v>
      </c>
      <c r="D23" s="60"/>
      <c r="E23" s="165" t="s">
        <v>25</v>
      </c>
      <c r="F23" s="165"/>
      <c r="G23" s="61" t="s">
        <v>10</v>
      </c>
      <c r="H23" s="146">
        <f>H24</f>
        <v>164.16</v>
      </c>
    </row>
    <row r="24" spans="1:8" ht="25.5">
      <c r="A24" s="72"/>
      <c r="B24" s="74"/>
      <c r="C24" s="75"/>
      <c r="D24" s="144" t="s">
        <v>24</v>
      </c>
      <c r="E24" s="166" t="s">
        <v>592</v>
      </c>
      <c r="F24" s="147"/>
      <c r="G24" s="148" t="s">
        <v>10</v>
      </c>
      <c r="H24" s="149">
        <f>ROUND(F25,2)</f>
        <v>164.16</v>
      </c>
    </row>
    <row r="25" spans="1:8">
      <c r="A25" s="54"/>
      <c r="B25" s="55"/>
      <c r="C25" s="56"/>
      <c r="D25" s="57"/>
      <c r="E25" s="8" t="s">
        <v>265</v>
      </c>
      <c r="F25" s="168">
        <f>547.2*0.3</f>
        <v>164.16</v>
      </c>
      <c r="G25" s="58"/>
      <c r="H25" s="117"/>
    </row>
    <row r="26" spans="1:8" ht="25.5">
      <c r="A26" s="142">
        <f>MAX(A$2:A25)+1</f>
        <v>6</v>
      </c>
      <c r="B26" s="143" t="s">
        <v>21</v>
      </c>
      <c r="C26" s="78" t="s">
        <v>352</v>
      </c>
      <c r="D26" s="60"/>
      <c r="E26" s="165" t="s">
        <v>353</v>
      </c>
      <c r="F26" s="165"/>
      <c r="G26" s="61" t="s">
        <v>50</v>
      </c>
      <c r="H26" s="146">
        <f>H27</f>
        <v>1</v>
      </c>
    </row>
    <row r="27" spans="1:8" ht="25.5">
      <c r="A27" s="72"/>
      <c r="B27" s="74"/>
      <c r="C27" s="75"/>
      <c r="D27" s="144" t="s">
        <v>352</v>
      </c>
      <c r="E27" s="166" t="s">
        <v>353</v>
      </c>
      <c r="F27" s="147"/>
      <c r="G27" s="148" t="s">
        <v>50</v>
      </c>
      <c r="H27" s="149">
        <v>1</v>
      </c>
    </row>
    <row r="28" spans="1:8" s="204" customFormat="1" ht="38.25">
      <c r="A28" s="54"/>
      <c r="B28" s="55"/>
      <c r="C28" s="26"/>
      <c r="D28" s="20"/>
      <c r="E28" s="8" t="s">
        <v>723</v>
      </c>
      <c r="F28" s="16"/>
      <c r="G28" s="21"/>
      <c r="H28" s="71"/>
    </row>
    <row r="29" spans="1:8" s="105" customFormat="1" ht="25.5">
      <c r="A29" s="54"/>
      <c r="B29" s="55"/>
      <c r="C29" s="26"/>
      <c r="D29" s="57"/>
      <c r="E29" s="8" t="s">
        <v>724</v>
      </c>
      <c r="F29" s="16"/>
      <c r="G29" s="21"/>
      <c r="H29" s="71"/>
    </row>
    <row r="30" spans="1:8" s="105" customFormat="1" ht="25.5">
      <c r="A30" s="142">
        <f>MAX(A$2:A28)+1</f>
        <v>7</v>
      </c>
      <c r="B30" s="143" t="s">
        <v>21</v>
      </c>
      <c r="C30" s="78" t="s">
        <v>255</v>
      </c>
      <c r="D30" s="60"/>
      <c r="E30" s="165" t="s">
        <v>256</v>
      </c>
      <c r="F30" s="165"/>
      <c r="G30" s="61" t="s">
        <v>12</v>
      </c>
      <c r="H30" s="146">
        <f>H31</f>
        <v>34215.300000000003</v>
      </c>
    </row>
    <row r="31" spans="1:8" s="105" customFormat="1" ht="25.5">
      <c r="A31" s="72"/>
      <c r="B31" s="74"/>
      <c r="C31" s="75"/>
      <c r="D31" s="144" t="s">
        <v>255</v>
      </c>
      <c r="E31" s="166" t="s">
        <v>256</v>
      </c>
      <c r="F31" s="147"/>
      <c r="G31" s="148" t="s">
        <v>12</v>
      </c>
      <c r="H31" s="149">
        <f>ROUND(F39,2)</f>
        <v>34215.300000000003</v>
      </c>
    </row>
    <row r="32" spans="1:8" s="105" customFormat="1">
      <c r="A32" s="54"/>
      <c r="B32" s="55"/>
      <c r="C32" s="56"/>
      <c r="D32" s="57"/>
      <c r="E32" s="8" t="s">
        <v>259</v>
      </c>
      <c r="F32" s="168">
        <f>11.75*615</f>
        <v>7226.25</v>
      </c>
      <c r="G32" s="58"/>
      <c r="H32" s="117"/>
    </row>
    <row r="33" spans="1:8" s="105" customFormat="1" ht="25.5">
      <c r="A33" s="54"/>
      <c r="B33" s="55"/>
      <c r="C33" s="56"/>
      <c r="D33" s="57"/>
      <c r="E33" s="8" t="s">
        <v>260</v>
      </c>
      <c r="F33" s="168">
        <f>13.12*615</f>
        <v>8068.7999999999993</v>
      </c>
      <c r="G33" s="58"/>
      <c r="H33" s="117"/>
    </row>
    <row r="34" spans="1:8" s="105" customFormat="1" ht="25.5">
      <c r="A34" s="54"/>
      <c r="B34" s="55"/>
      <c r="C34" s="56"/>
      <c r="D34" s="57"/>
      <c r="E34" s="8" t="s">
        <v>261</v>
      </c>
      <c r="F34" s="168">
        <f>13.45*623</f>
        <v>8379.35</v>
      </c>
      <c r="G34" s="58"/>
      <c r="H34" s="117"/>
    </row>
    <row r="35" spans="1:8" s="105" customFormat="1">
      <c r="A35" s="17"/>
      <c r="B35" s="27"/>
      <c r="C35" s="26"/>
      <c r="D35" s="21"/>
      <c r="E35" s="8" t="s">
        <v>257</v>
      </c>
      <c r="F35" s="168">
        <f>13.4*623+2*50*11.75</f>
        <v>9523.2000000000007</v>
      </c>
      <c r="G35" s="41"/>
      <c r="H35" s="71"/>
    </row>
    <row r="36" spans="1:8" s="105" customFormat="1">
      <c r="A36" s="17"/>
      <c r="B36" s="27"/>
      <c r="C36" s="26"/>
      <c r="D36" s="21"/>
      <c r="E36" s="8" t="s">
        <v>258</v>
      </c>
      <c r="F36" s="168"/>
      <c r="G36" s="41"/>
      <c r="H36" s="71"/>
    </row>
    <row r="37" spans="1:8" s="105" customFormat="1" ht="38.25">
      <c r="A37" s="17"/>
      <c r="B37" s="27"/>
      <c r="C37" s="26"/>
      <c r="D37" s="21"/>
      <c r="E37" s="8" t="s">
        <v>262</v>
      </c>
      <c r="F37" s="168">
        <f>0.8*(35.19+69.48+69.48+69.48+69.48+70.06+77.63+36.34+78.48+35.17+2*3)</f>
        <v>493.43200000000002</v>
      </c>
      <c r="G37" s="41"/>
      <c r="H37" s="71"/>
    </row>
    <row r="38" spans="1:8" s="105" customFormat="1" ht="38.25">
      <c r="A38" s="17"/>
      <c r="B38" s="27"/>
      <c r="C38" s="26"/>
      <c r="D38" s="21"/>
      <c r="E38" s="8" t="s">
        <v>263</v>
      </c>
      <c r="F38" s="169">
        <f>0.85*(35.19+69.48+69.48+69.48+69.48+70.06+77.63+36.34+78.48+35.17+2*3)</f>
        <v>524.27149999999995</v>
      </c>
      <c r="G38" s="41"/>
      <c r="H38" s="71"/>
    </row>
    <row r="39" spans="1:8" s="105" customFormat="1">
      <c r="A39" s="17"/>
      <c r="B39" s="27"/>
      <c r="C39" s="26"/>
      <c r="D39" s="21"/>
      <c r="E39" s="170" t="s">
        <v>454</v>
      </c>
      <c r="F39" s="168">
        <f>SUM(F32:F38)</f>
        <v>34215.303500000009</v>
      </c>
      <c r="G39" s="41"/>
      <c r="H39" s="71"/>
    </row>
    <row r="40" spans="1:8" s="105" customFormat="1" ht="25.5">
      <c r="A40" s="142">
        <f>MAX(A$2:A39)+1</f>
        <v>8</v>
      </c>
      <c r="B40" s="143" t="s">
        <v>21</v>
      </c>
      <c r="C40" s="78" t="s">
        <v>51</v>
      </c>
      <c r="D40" s="60"/>
      <c r="E40" s="165" t="s">
        <v>52</v>
      </c>
      <c r="F40" s="165"/>
      <c r="G40" s="61" t="s">
        <v>50</v>
      </c>
      <c r="H40" s="146">
        <f>H41</f>
        <v>1</v>
      </c>
    </row>
    <row r="41" spans="1:8" s="105" customFormat="1" ht="25.5">
      <c r="A41" s="72"/>
      <c r="B41" s="74"/>
      <c r="C41" s="75"/>
      <c r="D41" s="144" t="s">
        <v>51</v>
      </c>
      <c r="E41" s="166" t="s">
        <v>52</v>
      </c>
      <c r="F41" s="147"/>
      <c r="G41" s="148" t="s">
        <v>50</v>
      </c>
      <c r="H41" s="149">
        <v>1</v>
      </c>
    </row>
    <row r="42" spans="1:8" s="105" customFormat="1" ht="38.25">
      <c r="A42" s="35"/>
      <c r="B42" s="27"/>
      <c r="C42" s="56"/>
      <c r="D42" s="127"/>
      <c r="E42" s="8" t="s">
        <v>710</v>
      </c>
      <c r="F42" s="162"/>
      <c r="G42" s="41"/>
      <c r="H42" s="71"/>
    </row>
    <row r="43" spans="1:8" s="105" customFormat="1" ht="25.5">
      <c r="A43" s="142">
        <f>MAX(A$2:A42)+1</f>
        <v>9</v>
      </c>
      <c r="B43" s="143" t="s">
        <v>21</v>
      </c>
      <c r="C43" s="78" t="s">
        <v>148</v>
      </c>
      <c r="D43" s="60"/>
      <c r="E43" s="165" t="s">
        <v>149</v>
      </c>
      <c r="F43" s="165"/>
      <c r="G43" s="61" t="s">
        <v>150</v>
      </c>
      <c r="H43" s="146">
        <f>H44</f>
        <v>1</v>
      </c>
    </row>
    <row r="44" spans="1:8" s="105" customFormat="1">
      <c r="A44" s="72"/>
      <c r="B44" s="74"/>
      <c r="C44" s="75"/>
      <c r="D44" s="144" t="s">
        <v>148</v>
      </c>
      <c r="E44" s="166" t="s">
        <v>149</v>
      </c>
      <c r="F44" s="147"/>
      <c r="G44" s="148" t="s">
        <v>150</v>
      </c>
      <c r="H44" s="149">
        <f>F45</f>
        <v>1</v>
      </c>
    </row>
    <row r="45" spans="1:8" ht="25.5">
      <c r="A45" s="54"/>
      <c r="B45" s="55"/>
      <c r="C45" s="56"/>
      <c r="D45" s="57"/>
      <c r="E45" s="8" t="s">
        <v>264</v>
      </c>
      <c r="F45" s="168">
        <v>1</v>
      </c>
      <c r="G45" s="58"/>
      <c r="H45" s="117"/>
    </row>
    <row r="46" spans="1:8" ht="25.5">
      <c r="A46" s="142">
        <f>MAX(A$2:A45)+1</f>
        <v>10</v>
      </c>
      <c r="B46" s="143" t="s">
        <v>21</v>
      </c>
      <c r="C46" s="78" t="s">
        <v>669</v>
      </c>
      <c r="D46" s="60"/>
      <c r="E46" s="165" t="s">
        <v>670</v>
      </c>
      <c r="F46" s="165"/>
      <c r="G46" s="61" t="s">
        <v>50</v>
      </c>
      <c r="H46" s="146">
        <f>H47</f>
        <v>1</v>
      </c>
    </row>
    <row r="47" spans="1:8" ht="25.5">
      <c r="A47" s="72"/>
      <c r="B47" s="74"/>
      <c r="C47" s="75"/>
      <c r="D47" s="144" t="s">
        <v>669</v>
      </c>
      <c r="E47" s="166" t="s">
        <v>670</v>
      </c>
      <c r="F47" s="147"/>
      <c r="G47" s="148" t="s">
        <v>50</v>
      </c>
      <c r="H47" s="149">
        <f>F48</f>
        <v>1</v>
      </c>
    </row>
    <row r="48" spans="1:8" ht="25.5">
      <c r="A48" s="54"/>
      <c r="B48" s="55"/>
      <c r="C48" s="56"/>
      <c r="D48" s="57"/>
      <c r="E48" s="8" t="s">
        <v>711</v>
      </c>
      <c r="F48" s="168">
        <v>1</v>
      </c>
      <c r="G48" s="58"/>
      <c r="H48" s="117"/>
    </row>
    <row r="49" spans="1:8" ht="12.75" customHeight="1" thickBot="1">
      <c r="A49" s="218"/>
      <c r="B49" s="219"/>
      <c r="C49" s="220"/>
      <c r="D49" s="221"/>
      <c r="E49" s="222"/>
      <c r="F49" s="223"/>
      <c r="G49" s="224"/>
      <c r="H49" s="225"/>
    </row>
  </sheetData>
  <mergeCells count="6">
    <mergeCell ref="A5:A6"/>
    <mergeCell ref="B5:D5"/>
    <mergeCell ref="E5:F6"/>
    <mergeCell ref="G5:G6"/>
    <mergeCell ref="H5:H6"/>
    <mergeCell ref="B6:C6"/>
  </mergeCells>
  <pageMargins left="0.43307086614173229" right="0.43307086614173229" top="0.43307086614173229" bottom="0.62992125984251968" header="0.27559055118110237" footer="0.27559055118110237"/>
  <pageSetup paperSize="9" scale="78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3"/>
  <sheetViews>
    <sheetView tabSelected="1" topLeftCell="A276" zoomScaleNormal="100" workbookViewId="0">
      <selection activeCell="I276" sqref="I1:I1048576"/>
    </sheetView>
  </sheetViews>
  <sheetFormatPr defaultRowHeight="15.75"/>
  <cols>
    <col min="1" max="1" width="5.7109375" style="34" customWidth="1"/>
    <col min="2" max="2" width="11.7109375" style="1" customWidth="1"/>
    <col min="3" max="3" width="11.7109375" style="2" customWidth="1"/>
    <col min="4" max="4" width="15.140625" style="18" customWidth="1"/>
    <col min="5" max="5" width="53" style="3" customWidth="1"/>
    <col min="6" max="6" width="11.7109375" style="15" customWidth="1"/>
    <col min="7" max="7" width="4.7109375" style="39" customWidth="1"/>
    <col min="8" max="8" width="11.7109375" style="114" customWidth="1"/>
    <col min="9" max="9" width="22.7109375" hidden="1" customWidth="1"/>
    <col min="13" max="13" width="17.140625" customWidth="1"/>
  </cols>
  <sheetData>
    <row r="1" spans="1:9" ht="15">
      <c r="B1" s="3" t="s">
        <v>0</v>
      </c>
      <c r="C1" s="4"/>
      <c r="D1" s="3"/>
      <c r="E1" s="126" t="s">
        <v>706</v>
      </c>
    </row>
    <row r="2" spans="1:9" ht="15">
      <c r="B2" s="3"/>
      <c r="C2" s="4"/>
      <c r="D2" s="3"/>
      <c r="E2" s="4"/>
    </row>
    <row r="3" spans="1:9" ht="15">
      <c r="B3" s="3" t="s">
        <v>1</v>
      </c>
      <c r="C3" s="4"/>
      <c r="D3" s="4" t="s">
        <v>707</v>
      </c>
      <c r="E3" s="4" t="s">
        <v>708</v>
      </c>
    </row>
    <row r="5" spans="1:9" ht="16.5" thickBot="1"/>
    <row r="6" spans="1:9" ht="15">
      <c r="A6" s="290" t="s">
        <v>2</v>
      </c>
      <c r="B6" s="293" t="s">
        <v>3</v>
      </c>
      <c r="C6" s="293"/>
      <c r="D6" s="293"/>
      <c r="E6" s="293" t="s">
        <v>4</v>
      </c>
      <c r="F6" s="293"/>
      <c r="G6" s="294" t="s">
        <v>5</v>
      </c>
      <c r="H6" s="288" t="s">
        <v>6</v>
      </c>
    </row>
    <row r="7" spans="1:9" ht="15">
      <c r="A7" s="291"/>
      <c r="B7" s="292" t="s">
        <v>7</v>
      </c>
      <c r="C7" s="292"/>
      <c r="D7" s="161" t="s">
        <v>8</v>
      </c>
      <c r="E7" s="292"/>
      <c r="F7" s="292"/>
      <c r="G7" s="295"/>
      <c r="H7" s="289"/>
    </row>
    <row r="8" spans="1:9">
      <c r="A8" s="35"/>
      <c r="B8" s="5"/>
      <c r="C8" s="77"/>
      <c r="D8" s="19"/>
      <c r="F8" s="162"/>
      <c r="G8" s="40"/>
      <c r="H8" s="70"/>
    </row>
    <row r="9" spans="1:9" s="141" customFormat="1" ht="15">
      <c r="A9" s="137"/>
      <c r="B9" s="69" t="s">
        <v>9</v>
      </c>
      <c r="C9" s="138"/>
      <c r="D9" s="139"/>
      <c r="E9" s="163" t="s">
        <v>131</v>
      </c>
      <c r="F9" s="164"/>
      <c r="G9" s="140"/>
      <c r="H9" s="106"/>
    </row>
    <row r="10" spans="1:9" s="141" customFormat="1" ht="25.5">
      <c r="A10" s="142">
        <f>MAX(A$2:A9)+1</f>
        <v>1</v>
      </c>
      <c r="B10" s="73" t="s">
        <v>9</v>
      </c>
      <c r="C10" s="11" t="s">
        <v>165</v>
      </c>
      <c r="D10" s="28"/>
      <c r="E10" s="171" t="s">
        <v>166</v>
      </c>
      <c r="F10" s="172"/>
      <c r="G10" s="29" t="s">
        <v>10</v>
      </c>
      <c r="H10" s="106">
        <f>H11</f>
        <v>24.62</v>
      </c>
    </row>
    <row r="11" spans="1:9" s="141" customFormat="1" ht="25.5">
      <c r="A11" s="93"/>
      <c r="B11" s="160"/>
      <c r="C11" s="12"/>
      <c r="D11" s="14" t="s">
        <v>165</v>
      </c>
      <c r="E11" s="173" t="s">
        <v>166</v>
      </c>
      <c r="F11" s="174"/>
      <c r="G11" s="14" t="s">
        <v>10</v>
      </c>
      <c r="H11" s="71">
        <f>ROUND(F13,2)</f>
        <v>24.62</v>
      </c>
    </row>
    <row r="12" spans="1:9">
      <c r="A12" s="54"/>
      <c r="B12" s="55"/>
      <c r="C12" s="56"/>
      <c r="D12" s="57"/>
      <c r="E12" s="8" t="s">
        <v>167</v>
      </c>
      <c r="F12" s="168"/>
      <c r="G12" s="58"/>
      <c r="H12" s="117"/>
    </row>
    <row r="13" spans="1:9" ht="15" customHeight="1">
      <c r="A13" s="35"/>
      <c r="B13" s="27"/>
      <c r="C13" s="26"/>
      <c r="D13" s="20"/>
      <c r="E13" s="8" t="s">
        <v>168</v>
      </c>
      <c r="F13" s="168">
        <f>7.2*11.4*0.15*2</f>
        <v>24.623999999999999</v>
      </c>
      <c r="G13" s="41"/>
      <c r="H13" s="71"/>
    </row>
    <row r="14" spans="1:9" s="147" customFormat="1" ht="25.5">
      <c r="A14" s="142">
        <f>MAX(A$2:A13)+1</f>
        <v>2</v>
      </c>
      <c r="B14" s="143" t="s">
        <v>9</v>
      </c>
      <c r="C14" s="78" t="s">
        <v>26</v>
      </c>
      <c r="D14" s="60"/>
      <c r="E14" s="165" t="s">
        <v>27</v>
      </c>
      <c r="F14" s="165"/>
      <c r="G14" s="61" t="s">
        <v>10</v>
      </c>
      <c r="H14" s="146">
        <f>H15</f>
        <v>85.66</v>
      </c>
    </row>
    <row r="15" spans="1:9" s="147" customFormat="1" ht="25.5">
      <c r="A15" s="72"/>
      <c r="B15" s="74"/>
      <c r="C15" s="75"/>
      <c r="D15" s="144" t="s">
        <v>26</v>
      </c>
      <c r="E15" s="166" t="s">
        <v>27</v>
      </c>
      <c r="G15" s="148" t="s">
        <v>10</v>
      </c>
      <c r="H15" s="149">
        <f>ROUND(F19,2)</f>
        <v>85.66</v>
      </c>
      <c r="I15" s="150"/>
    </row>
    <row r="16" spans="1:9" ht="36.75" customHeight="1">
      <c r="A16" s="54"/>
      <c r="B16" s="55"/>
      <c r="C16" s="56"/>
      <c r="D16" s="57"/>
      <c r="E16" s="8" t="s">
        <v>756</v>
      </c>
      <c r="F16" s="168">
        <f>0.8*(35.19+69.48+69.48+69.48+69.48+70.06+77.63+36.34+78.48+35.17)*0.065</f>
        <v>31.76108</v>
      </c>
      <c r="G16" s="58"/>
      <c r="H16" s="117"/>
    </row>
    <row r="17" spans="1:9">
      <c r="A17" s="54"/>
      <c r="B17" s="55"/>
      <c r="C17" s="56"/>
      <c r="D17" s="57"/>
      <c r="E17" s="8" t="s">
        <v>164</v>
      </c>
      <c r="F17" s="168"/>
      <c r="G17" s="58"/>
      <c r="H17" s="117"/>
    </row>
    <row r="18" spans="1:9" ht="15" customHeight="1">
      <c r="A18" s="35"/>
      <c r="B18" s="27"/>
      <c r="C18" s="26"/>
      <c r="D18" s="20"/>
      <c r="E18" s="8" t="s">
        <v>169</v>
      </c>
      <c r="F18" s="169">
        <f>7*11*0.35*2</f>
        <v>53.9</v>
      </c>
      <c r="G18" s="41"/>
      <c r="H18" s="71"/>
    </row>
    <row r="19" spans="1:9" ht="15" customHeight="1">
      <c r="A19" s="35"/>
      <c r="B19" s="27"/>
      <c r="C19" s="26"/>
      <c r="D19" s="20"/>
      <c r="E19" s="170" t="s">
        <v>454</v>
      </c>
      <c r="F19" s="168">
        <f>SUM(F16:F18)</f>
        <v>85.661079999999998</v>
      </c>
      <c r="G19" s="41"/>
      <c r="H19" s="71"/>
    </row>
    <row r="20" spans="1:9" s="147" customFormat="1" ht="25.5">
      <c r="A20" s="142">
        <f>MAX(A$2:A18)+1</f>
        <v>3</v>
      </c>
      <c r="B20" s="143" t="s">
        <v>9</v>
      </c>
      <c r="C20" s="78" t="s">
        <v>158</v>
      </c>
      <c r="D20" s="60"/>
      <c r="E20" s="165" t="s">
        <v>159</v>
      </c>
      <c r="F20" s="165"/>
      <c r="G20" s="61" t="s">
        <v>10</v>
      </c>
      <c r="H20" s="146">
        <f>H21</f>
        <v>408.78</v>
      </c>
    </row>
    <row r="21" spans="1:9" s="147" customFormat="1" ht="25.5">
      <c r="A21" s="72"/>
      <c r="B21" s="74"/>
      <c r="C21" s="75"/>
      <c r="D21" s="144" t="s">
        <v>158</v>
      </c>
      <c r="E21" s="166" t="s">
        <v>159</v>
      </c>
      <c r="G21" s="148" t="s">
        <v>10</v>
      </c>
      <c r="H21" s="149">
        <f>ROUND(F30,2)</f>
        <v>408.78</v>
      </c>
      <c r="I21" s="150"/>
    </row>
    <row r="22" spans="1:9">
      <c r="A22" s="35"/>
      <c r="B22" s="25"/>
      <c r="C22" s="23"/>
      <c r="D22" s="20"/>
      <c r="E22" s="8" t="s">
        <v>709</v>
      </c>
      <c r="F22" s="162"/>
      <c r="G22" s="41"/>
      <c r="H22" s="71"/>
    </row>
    <row r="23" spans="1:9">
      <c r="A23" s="35"/>
      <c r="B23" s="25"/>
      <c r="C23" s="23"/>
      <c r="D23" s="127"/>
      <c r="E23" s="8" t="s">
        <v>160</v>
      </c>
      <c r="F23" s="168"/>
      <c r="G23" s="41"/>
      <c r="H23" s="71"/>
    </row>
    <row r="24" spans="1:9" ht="15" customHeight="1">
      <c r="A24" s="35"/>
      <c r="B24" s="27"/>
      <c r="C24" s="26"/>
      <c r="D24" s="20"/>
      <c r="E24" s="8" t="s">
        <v>161</v>
      </c>
      <c r="F24" s="168">
        <f>0.34*(35.19+69.48+69.48+69.48+69.48+70.06+77.63+36.34+78.48+35.17+2*3)</f>
        <v>209.70859999999999</v>
      </c>
      <c r="G24" s="41"/>
      <c r="H24" s="71"/>
    </row>
    <row r="25" spans="1:9" ht="15" customHeight="1">
      <c r="A25" s="35"/>
      <c r="B25" s="27"/>
      <c r="C25" s="26"/>
      <c r="D25" s="20"/>
      <c r="E25" s="8" t="s">
        <v>162</v>
      </c>
      <c r="F25" s="168"/>
      <c r="G25" s="41"/>
      <c r="H25" s="71"/>
    </row>
    <row r="26" spans="1:9" ht="15" customHeight="1">
      <c r="A26" s="35"/>
      <c r="B26" s="27"/>
      <c r="C26" s="26"/>
      <c r="D26" s="20"/>
      <c r="E26" s="8" t="s">
        <v>163</v>
      </c>
      <c r="F26" s="169">
        <f>0.311*(35.19+69.48+69.48+69.48+69.48+70.06+77.63+36.34+78.48+35.17+2*3)</f>
        <v>191.82168999999999</v>
      </c>
      <c r="G26" s="41"/>
      <c r="H26" s="71"/>
    </row>
    <row r="27" spans="1:9">
      <c r="A27" s="35"/>
      <c r="B27" s="27"/>
      <c r="C27" s="26"/>
      <c r="D27" s="20"/>
      <c r="E27" s="170" t="s">
        <v>215</v>
      </c>
      <c r="F27" s="168">
        <f>SUM(F24:F26)</f>
        <v>401.53028999999998</v>
      </c>
      <c r="G27" s="41"/>
      <c r="H27" s="71"/>
    </row>
    <row r="28" spans="1:9" ht="15" customHeight="1">
      <c r="A28" s="35"/>
      <c r="B28" s="27"/>
      <c r="C28" s="26"/>
      <c r="D28" s="20"/>
      <c r="E28" s="8" t="s">
        <v>727</v>
      </c>
      <c r="F28" s="168"/>
      <c r="G28" s="41"/>
      <c r="H28" s="71"/>
    </row>
    <row r="29" spans="1:9" ht="15" customHeight="1">
      <c r="A29" s="35"/>
      <c r="B29" s="27"/>
      <c r="C29" s="26"/>
      <c r="D29" s="20"/>
      <c r="E29" s="8" t="s">
        <v>755</v>
      </c>
      <c r="F29" s="168">
        <f>0.153*1.33*22+2*0.14*0.15*3*22</f>
        <v>7.24878</v>
      </c>
      <c r="G29" s="41"/>
      <c r="H29" s="71"/>
    </row>
    <row r="30" spans="1:9">
      <c r="A30" s="35"/>
      <c r="B30" s="27"/>
      <c r="C30" s="26"/>
      <c r="D30" s="20"/>
      <c r="E30" s="170" t="s">
        <v>454</v>
      </c>
      <c r="F30" s="168">
        <f>F27+F29</f>
        <v>408.77906999999999</v>
      </c>
      <c r="G30" s="41"/>
      <c r="H30" s="71"/>
    </row>
    <row r="31" spans="1:9" s="147" customFormat="1" ht="25.5">
      <c r="A31" s="142">
        <f>MAX(A$2:A27)+1</f>
        <v>4</v>
      </c>
      <c r="B31" s="143" t="s">
        <v>9</v>
      </c>
      <c r="C31" s="78" t="s">
        <v>84</v>
      </c>
      <c r="D31" s="60"/>
      <c r="E31" s="165" t="s">
        <v>85</v>
      </c>
      <c r="F31" s="165"/>
      <c r="G31" s="61" t="s">
        <v>12</v>
      </c>
      <c r="H31" s="146">
        <f>H32</f>
        <v>22296.25</v>
      </c>
    </row>
    <row r="32" spans="1:9" s="147" customFormat="1" ht="25.5">
      <c r="A32" s="72"/>
      <c r="B32" s="74"/>
      <c r="C32" s="75"/>
      <c r="D32" s="144" t="s">
        <v>84</v>
      </c>
      <c r="E32" s="166" t="s">
        <v>85</v>
      </c>
      <c r="G32" s="148" t="s">
        <v>12</v>
      </c>
      <c r="H32" s="149">
        <f>ROUND(F43,2)</f>
        <v>22296.25</v>
      </c>
      <c r="I32" s="150"/>
    </row>
    <row r="33" spans="1:9">
      <c r="A33" s="17"/>
      <c r="B33" s="27"/>
      <c r="C33" s="26"/>
      <c r="D33" s="21"/>
      <c r="E33" s="8" t="s">
        <v>216</v>
      </c>
      <c r="F33" s="168"/>
      <c r="G33" s="41"/>
      <c r="H33" s="71"/>
    </row>
    <row r="34" spans="1:9">
      <c r="A34" s="17"/>
      <c r="B34" s="27"/>
      <c r="C34" s="26"/>
      <c r="D34" s="21"/>
      <c r="E34" s="8" t="s">
        <v>208</v>
      </c>
      <c r="F34" s="168">
        <f>4.87*615.4</f>
        <v>2996.998</v>
      </c>
      <c r="G34" s="41"/>
      <c r="H34" s="71"/>
    </row>
    <row r="35" spans="1:9">
      <c r="A35" s="17"/>
      <c r="B35" s="27"/>
      <c r="C35" s="26"/>
      <c r="D35" s="21"/>
      <c r="E35" s="8" t="s">
        <v>209</v>
      </c>
      <c r="F35" s="168">
        <f>13.125*615.4</f>
        <v>8077.125</v>
      </c>
      <c r="G35" s="41"/>
      <c r="H35" s="71"/>
    </row>
    <row r="36" spans="1:9">
      <c r="A36" s="17"/>
      <c r="B36" s="27"/>
      <c r="C36" s="26"/>
      <c r="D36" s="21"/>
      <c r="E36" s="8" t="s">
        <v>210</v>
      </c>
      <c r="F36" s="169">
        <f>13.125*615.4</f>
        <v>8077.125</v>
      </c>
      <c r="G36" s="41"/>
      <c r="H36" s="71"/>
    </row>
    <row r="37" spans="1:9">
      <c r="A37" s="17"/>
      <c r="B37" s="25"/>
      <c r="C37" s="23"/>
      <c r="D37" s="21"/>
      <c r="E37" s="170" t="s">
        <v>215</v>
      </c>
      <c r="F37" s="168">
        <f>SUM(F34:F36)</f>
        <v>19151.248</v>
      </c>
      <c r="G37" s="41"/>
      <c r="H37" s="71"/>
    </row>
    <row r="38" spans="1:9">
      <c r="A38" s="17"/>
      <c r="B38" s="25"/>
      <c r="C38" s="23"/>
      <c r="D38" s="21"/>
      <c r="E38" s="8" t="s">
        <v>211</v>
      </c>
      <c r="F38" s="168"/>
      <c r="G38" s="41"/>
      <c r="H38" s="71"/>
    </row>
    <row r="39" spans="1:9">
      <c r="A39" s="17"/>
      <c r="B39" s="25"/>
      <c r="C39" s="23"/>
      <c r="D39" s="21"/>
      <c r="E39" s="8" t="s">
        <v>212</v>
      </c>
      <c r="F39" s="168">
        <f>2636+(5+1.25)*2*0.15*16</f>
        <v>2666</v>
      </c>
      <c r="G39" s="41"/>
      <c r="H39" s="71"/>
    </row>
    <row r="40" spans="1:9">
      <c r="A40" s="17"/>
      <c r="B40" s="25"/>
      <c r="C40" s="23"/>
      <c r="D40" s="21"/>
      <c r="E40" s="8" t="s">
        <v>213</v>
      </c>
      <c r="F40" s="168">
        <v>141</v>
      </c>
      <c r="G40" s="41"/>
      <c r="H40" s="71"/>
    </row>
    <row r="41" spans="1:9">
      <c r="A41" s="17"/>
      <c r="B41" s="25"/>
      <c r="C41" s="23"/>
      <c r="D41" s="21"/>
      <c r="E41" s="8" t="s">
        <v>214</v>
      </c>
      <c r="F41" s="169">
        <v>338</v>
      </c>
      <c r="G41" s="41"/>
      <c r="H41" s="71"/>
    </row>
    <row r="42" spans="1:9">
      <c r="A42" s="17"/>
      <c r="B42" s="27"/>
      <c r="C42" s="26"/>
      <c r="D42" s="21"/>
      <c r="E42" s="170" t="s">
        <v>215</v>
      </c>
      <c r="F42" s="168">
        <f>SUM(F39:F41)</f>
        <v>3145</v>
      </c>
      <c r="G42" s="41"/>
      <c r="H42" s="71"/>
    </row>
    <row r="43" spans="1:9" ht="12.75" customHeight="1">
      <c r="A43" s="17"/>
      <c r="B43" s="27"/>
      <c r="C43" s="26"/>
      <c r="D43" s="21"/>
      <c r="E43" s="170" t="s">
        <v>454</v>
      </c>
      <c r="F43" s="168">
        <f>F37+F42</f>
        <v>22296.248</v>
      </c>
      <c r="G43" s="41"/>
      <c r="H43" s="71"/>
    </row>
    <row r="44" spans="1:9" s="147" customFormat="1" ht="25.5">
      <c r="A44" s="142">
        <f>MAX(A$2:A43)+1</f>
        <v>5</v>
      </c>
      <c r="B44" s="143" t="s">
        <v>9</v>
      </c>
      <c r="C44" s="78" t="s">
        <v>28</v>
      </c>
      <c r="D44" s="60"/>
      <c r="E44" s="165" t="s">
        <v>29</v>
      </c>
      <c r="F44" s="165"/>
      <c r="G44" s="61" t="s">
        <v>12</v>
      </c>
      <c r="H44" s="146">
        <f>H45</f>
        <v>6565.99</v>
      </c>
    </row>
    <row r="45" spans="1:9" s="147" customFormat="1">
      <c r="A45" s="72"/>
      <c r="B45" s="74"/>
      <c r="C45" s="75"/>
      <c r="D45" s="144" t="s">
        <v>28</v>
      </c>
      <c r="E45" s="166" t="s">
        <v>29</v>
      </c>
      <c r="G45" s="148" t="s">
        <v>12</v>
      </c>
      <c r="H45" s="149">
        <f>ROUND(F47,2)</f>
        <v>6565.99</v>
      </c>
      <c r="I45" s="150"/>
    </row>
    <row r="46" spans="1:9">
      <c r="A46" s="17"/>
      <c r="C46" s="26"/>
      <c r="D46" s="21"/>
      <c r="E46" s="8" t="s">
        <v>582</v>
      </c>
      <c r="F46" s="168"/>
      <c r="G46" s="41"/>
      <c r="H46" s="71"/>
    </row>
    <row r="47" spans="1:9" ht="38.25">
      <c r="A47" s="17"/>
      <c r="C47" s="26"/>
      <c r="D47" s="57"/>
      <c r="E47" s="8" t="s">
        <v>185</v>
      </c>
      <c r="F47" s="168">
        <f>10.75*(35.19+69.48+69.48+69.48+69.48+70.06+77.63+36.34+78.48+35.17)</f>
        <v>6565.9924999999994</v>
      </c>
      <c r="G47" s="41"/>
      <c r="H47" s="71"/>
    </row>
    <row r="48" spans="1:9" s="147" customFormat="1" ht="25.5">
      <c r="A48" s="142">
        <f>MAX(A$2:A46)+1</f>
        <v>6</v>
      </c>
      <c r="B48" s="143" t="s">
        <v>9</v>
      </c>
      <c r="C48" s="78" t="s">
        <v>468</v>
      </c>
      <c r="D48" s="60"/>
      <c r="E48" s="165" t="s">
        <v>469</v>
      </c>
      <c r="F48" s="165"/>
      <c r="G48" s="61" t="s">
        <v>13</v>
      </c>
      <c r="H48" s="146">
        <f>H49</f>
        <v>1250</v>
      </c>
    </row>
    <row r="49" spans="1:13" s="147" customFormat="1" ht="25.5">
      <c r="A49" s="72"/>
      <c r="B49" s="74"/>
      <c r="C49" s="75"/>
      <c r="D49" s="144" t="s">
        <v>470</v>
      </c>
      <c r="E49" s="166" t="s">
        <v>471</v>
      </c>
      <c r="G49" s="148" t="s">
        <v>13</v>
      </c>
      <c r="H49" s="149">
        <f>ROUND(F50,2)</f>
        <v>1250</v>
      </c>
      <c r="I49" s="150"/>
    </row>
    <row r="50" spans="1:13" ht="38.25">
      <c r="A50" s="17"/>
      <c r="C50" s="26"/>
      <c r="D50" s="57"/>
      <c r="E50" s="8" t="s">
        <v>716</v>
      </c>
      <c r="F50" s="168">
        <f>2*625</f>
        <v>1250</v>
      </c>
      <c r="G50" s="41"/>
      <c r="H50" s="71"/>
    </row>
    <row r="51" spans="1:13" s="147" customFormat="1" ht="25.5">
      <c r="A51" s="231">
        <f>MAX(A$2:A50)+1</f>
        <v>7</v>
      </c>
      <c r="B51" s="232" t="s">
        <v>9</v>
      </c>
      <c r="C51" s="233" t="s">
        <v>30</v>
      </c>
      <c r="D51" s="234"/>
      <c r="E51" s="235" t="s">
        <v>83</v>
      </c>
      <c r="F51" s="235"/>
      <c r="G51" s="236" t="s">
        <v>11</v>
      </c>
      <c r="H51" s="237">
        <f>H52</f>
        <v>38</v>
      </c>
    </row>
    <row r="52" spans="1:13" s="147" customFormat="1" ht="25.5">
      <c r="A52" s="238"/>
      <c r="B52" s="239"/>
      <c r="C52" s="240"/>
      <c r="D52" s="241" t="s">
        <v>30</v>
      </c>
      <c r="E52" s="242" t="s">
        <v>83</v>
      </c>
      <c r="F52" s="150"/>
      <c r="G52" s="243" t="s">
        <v>11</v>
      </c>
      <c r="H52" s="244">
        <f>F58</f>
        <v>38</v>
      </c>
      <c r="I52" s="150"/>
    </row>
    <row r="53" spans="1:13" ht="25.5">
      <c r="A53" s="17"/>
      <c r="B53" s="27"/>
      <c r="C53" s="26"/>
      <c r="D53" s="21"/>
      <c r="E53" s="8" t="s">
        <v>599</v>
      </c>
      <c r="F53" s="16">
        <v>1</v>
      </c>
      <c r="G53" s="41"/>
      <c r="H53" s="71"/>
    </row>
    <row r="54" spans="1:13" ht="25.5">
      <c r="A54" s="17"/>
      <c r="B54" s="27"/>
      <c r="C54" s="26"/>
      <c r="D54" s="21"/>
      <c r="E54" s="8" t="s">
        <v>519</v>
      </c>
      <c r="F54" s="168">
        <v>1</v>
      </c>
      <c r="G54" s="41"/>
      <c r="H54" s="71"/>
      <c r="M54" s="8"/>
    </row>
    <row r="55" spans="1:13" ht="25.5">
      <c r="A55" s="17"/>
      <c r="B55" s="27"/>
      <c r="C55" s="26"/>
      <c r="D55" s="57"/>
      <c r="E55" s="8" t="s">
        <v>600</v>
      </c>
      <c r="F55" s="168">
        <v>1</v>
      </c>
      <c r="G55" s="41"/>
      <c r="H55" s="71"/>
    </row>
    <row r="56" spans="1:13" ht="25.5">
      <c r="A56" s="17"/>
      <c r="B56" s="27"/>
      <c r="C56" s="26"/>
      <c r="D56" s="57"/>
      <c r="E56" s="245" t="s">
        <v>842</v>
      </c>
      <c r="F56" s="246">
        <v>1</v>
      </c>
      <c r="G56" s="41"/>
      <c r="H56" s="71"/>
      <c r="I56" s="228"/>
    </row>
    <row r="57" spans="1:13">
      <c r="A57" s="17"/>
      <c r="B57" s="27"/>
      <c r="C57" s="26"/>
      <c r="D57" s="21"/>
      <c r="E57" s="245" t="s">
        <v>645</v>
      </c>
      <c r="F57" s="247">
        <v>34</v>
      </c>
      <c r="G57" s="41"/>
      <c r="H57" s="71"/>
      <c r="I57" s="228"/>
    </row>
    <row r="58" spans="1:13">
      <c r="A58" s="17"/>
      <c r="B58" s="27"/>
      <c r="C58" s="26"/>
      <c r="D58" s="21"/>
      <c r="E58" s="248" t="s">
        <v>454</v>
      </c>
      <c r="F58" s="246">
        <f>SUM(F53:F57)</f>
        <v>38</v>
      </c>
      <c r="G58" s="41"/>
      <c r="H58" s="71"/>
    </row>
    <row r="59" spans="1:13" s="147" customFormat="1" ht="25.5">
      <c r="A59" s="231">
        <f>MAX(A$2:A58)+1</f>
        <v>8</v>
      </c>
      <c r="B59" s="232" t="s">
        <v>9</v>
      </c>
      <c r="C59" s="233" t="s">
        <v>762</v>
      </c>
      <c r="D59" s="234"/>
      <c r="E59" s="235" t="s">
        <v>764</v>
      </c>
      <c r="F59" s="235"/>
      <c r="G59" s="236" t="s">
        <v>12</v>
      </c>
      <c r="H59" s="237">
        <f>H60</f>
        <v>258.5</v>
      </c>
    </row>
    <row r="60" spans="1:13" s="147" customFormat="1" ht="25.5">
      <c r="A60" s="238"/>
      <c r="B60" s="239"/>
      <c r="C60" s="240"/>
      <c r="D60" s="241" t="s">
        <v>763</v>
      </c>
      <c r="E60" s="242" t="s">
        <v>765</v>
      </c>
      <c r="F60" s="150"/>
      <c r="G60" s="243" t="s">
        <v>12</v>
      </c>
      <c r="H60" s="244">
        <f>ROUND(F62,2)</f>
        <v>258.5</v>
      </c>
      <c r="I60" s="150"/>
    </row>
    <row r="61" spans="1:13">
      <c r="A61" s="17"/>
      <c r="B61" s="27"/>
      <c r="C61" s="26"/>
      <c r="D61" s="21"/>
      <c r="E61" s="8" t="s">
        <v>766</v>
      </c>
      <c r="F61" s="168"/>
      <c r="G61" s="41"/>
      <c r="H61" s="71"/>
      <c r="M61" s="8"/>
    </row>
    <row r="62" spans="1:13">
      <c r="A62" s="17"/>
      <c r="B62" s="27"/>
      <c r="C62" s="26"/>
      <c r="D62" s="21"/>
      <c r="E62" s="245" t="s">
        <v>814</v>
      </c>
      <c r="F62" s="246">
        <f>11.75*2*11</f>
        <v>258.5</v>
      </c>
      <c r="G62" s="41"/>
      <c r="H62" s="71"/>
      <c r="I62" s="228"/>
      <c r="M62" s="8"/>
    </row>
    <row r="63" spans="1:13" s="147" customFormat="1" ht="25.5">
      <c r="A63" s="142">
        <f>MAX(A$2:A62)+1</f>
        <v>9</v>
      </c>
      <c r="B63" s="143" t="s">
        <v>9</v>
      </c>
      <c r="C63" s="78" t="s">
        <v>193</v>
      </c>
      <c r="D63" s="60"/>
      <c r="E63" s="165" t="s">
        <v>194</v>
      </c>
      <c r="F63" s="165"/>
      <c r="G63" s="61" t="s">
        <v>12</v>
      </c>
      <c r="H63" s="146">
        <f>H64</f>
        <v>235</v>
      </c>
    </row>
    <row r="64" spans="1:13" s="147" customFormat="1" ht="38.25">
      <c r="A64" s="72"/>
      <c r="B64" s="74"/>
      <c r="C64" s="75"/>
      <c r="D64" s="144" t="s">
        <v>195</v>
      </c>
      <c r="E64" s="166" t="s">
        <v>196</v>
      </c>
      <c r="G64" s="148" t="s">
        <v>12</v>
      </c>
      <c r="H64" s="149">
        <f>ROUND(F66,2)</f>
        <v>235</v>
      </c>
      <c r="I64" s="150"/>
    </row>
    <row r="65" spans="1:9">
      <c r="A65" s="17"/>
      <c r="B65" s="27"/>
      <c r="C65" s="26"/>
      <c r="D65" s="21"/>
      <c r="E65" s="8" t="s">
        <v>189</v>
      </c>
      <c r="F65" s="16"/>
      <c r="G65" s="41"/>
      <c r="H65" s="71"/>
    </row>
    <row r="66" spans="1:9">
      <c r="A66" s="17"/>
      <c r="B66" s="27"/>
      <c r="C66" s="26"/>
      <c r="D66" s="21"/>
      <c r="E66" s="8" t="s">
        <v>197</v>
      </c>
      <c r="F66" s="16">
        <f>2*10*11.75</f>
        <v>235</v>
      </c>
      <c r="G66" s="41"/>
      <c r="H66" s="71"/>
    </row>
    <row r="67" spans="1:9" s="147" customFormat="1" ht="25.5">
      <c r="A67" s="142">
        <f>MAX(A$2:A66)+1</f>
        <v>10</v>
      </c>
      <c r="B67" s="143" t="s">
        <v>9</v>
      </c>
      <c r="C67" s="78" t="s">
        <v>198</v>
      </c>
      <c r="D67" s="60"/>
      <c r="E67" s="165" t="s">
        <v>199</v>
      </c>
      <c r="F67" s="165"/>
      <c r="G67" s="61" t="s">
        <v>12</v>
      </c>
      <c r="H67" s="146">
        <f>H68</f>
        <v>305.5</v>
      </c>
    </row>
    <row r="68" spans="1:9" s="147" customFormat="1" ht="38.25">
      <c r="A68" s="72"/>
      <c r="B68" s="74"/>
      <c r="C68" s="75"/>
      <c r="D68" s="144" t="s">
        <v>200</v>
      </c>
      <c r="E68" s="166" t="s">
        <v>201</v>
      </c>
      <c r="G68" s="148" t="s">
        <v>12</v>
      </c>
      <c r="H68" s="149">
        <f>ROUND(F70,2)</f>
        <v>305.5</v>
      </c>
      <c r="I68" s="150"/>
    </row>
    <row r="69" spans="1:9">
      <c r="A69" s="17"/>
      <c r="B69" s="27"/>
      <c r="C69" s="26"/>
      <c r="D69" s="21"/>
      <c r="E69" s="8" t="s">
        <v>189</v>
      </c>
      <c r="F69" s="16"/>
      <c r="G69" s="41"/>
      <c r="H69" s="71"/>
    </row>
    <row r="70" spans="1:9">
      <c r="A70" s="17"/>
      <c r="C70" s="14"/>
      <c r="D70" s="21"/>
      <c r="E70" s="8" t="s">
        <v>202</v>
      </c>
      <c r="F70" s="168">
        <f>2*13*11.75</f>
        <v>305.5</v>
      </c>
      <c r="G70" s="41"/>
      <c r="H70" s="71"/>
    </row>
    <row r="71" spans="1:9" s="147" customFormat="1" ht="25.5">
      <c r="A71" s="142">
        <f>MAX(A$2:A70)+1</f>
        <v>11</v>
      </c>
      <c r="B71" s="143" t="s">
        <v>9</v>
      </c>
      <c r="C71" s="78" t="s">
        <v>170</v>
      </c>
      <c r="D71" s="60"/>
      <c r="E71" s="165" t="s">
        <v>171</v>
      </c>
      <c r="F71" s="165"/>
      <c r="G71" s="61" t="s">
        <v>12</v>
      </c>
      <c r="H71" s="146">
        <f>H72</f>
        <v>48</v>
      </c>
    </row>
    <row r="72" spans="1:9" s="147" customFormat="1" ht="25.5">
      <c r="A72" s="72"/>
      <c r="B72" s="74"/>
      <c r="C72" s="75"/>
      <c r="D72" s="144" t="s">
        <v>172</v>
      </c>
      <c r="E72" s="166" t="s">
        <v>173</v>
      </c>
      <c r="G72" s="148" t="s">
        <v>12</v>
      </c>
      <c r="H72" s="149">
        <f>ROUND(F73,2)</f>
        <v>48</v>
      </c>
      <c r="I72" s="150"/>
    </row>
    <row r="73" spans="1:9">
      <c r="A73" s="17"/>
      <c r="C73" s="11"/>
      <c r="D73" s="21"/>
      <c r="E73" s="8" t="s">
        <v>693</v>
      </c>
      <c r="F73" s="168">
        <f>(25+15)*2*0.6</f>
        <v>48</v>
      </c>
      <c r="G73" s="41"/>
      <c r="H73" s="71"/>
    </row>
    <row r="74" spans="1:9" s="147" customFormat="1" ht="38.25">
      <c r="A74" s="142">
        <f>MAX(A$2:A73)+1</f>
        <v>12</v>
      </c>
      <c r="B74" s="143" t="s">
        <v>9</v>
      </c>
      <c r="C74" s="78" t="s">
        <v>178</v>
      </c>
      <c r="D74" s="60"/>
      <c r="E74" s="165" t="s">
        <v>179</v>
      </c>
      <c r="F74" s="165"/>
      <c r="G74" s="61" t="s">
        <v>13</v>
      </c>
      <c r="H74" s="146">
        <f>H75</f>
        <v>20</v>
      </c>
    </row>
    <row r="75" spans="1:9" s="147" customFormat="1" ht="38.25">
      <c r="A75" s="72"/>
      <c r="B75" s="74"/>
      <c r="C75" s="75"/>
      <c r="D75" s="144" t="s">
        <v>178</v>
      </c>
      <c r="E75" s="166" t="s">
        <v>179</v>
      </c>
      <c r="G75" s="148" t="s">
        <v>13</v>
      </c>
      <c r="H75" s="149">
        <f>F76</f>
        <v>20</v>
      </c>
      <c r="I75" s="150"/>
    </row>
    <row r="76" spans="1:9">
      <c r="A76" s="17"/>
      <c r="B76" s="25"/>
      <c r="C76" s="23"/>
      <c r="D76" s="21"/>
      <c r="E76" s="8" t="s">
        <v>601</v>
      </c>
      <c r="F76" s="16">
        <f>5*4</f>
        <v>20</v>
      </c>
      <c r="G76" s="42"/>
      <c r="H76" s="71"/>
    </row>
    <row r="77" spans="1:9" s="141" customFormat="1" ht="38.25">
      <c r="A77" s="142">
        <f>MAX(A$2:A76)+1</f>
        <v>13</v>
      </c>
      <c r="B77" s="73" t="s">
        <v>9</v>
      </c>
      <c r="C77" s="11" t="s">
        <v>175</v>
      </c>
      <c r="D77" s="28"/>
      <c r="E77" s="171" t="s">
        <v>176</v>
      </c>
      <c r="F77" s="172"/>
      <c r="G77" s="29" t="s">
        <v>13</v>
      </c>
      <c r="H77" s="70">
        <f>H78</f>
        <v>1308.4000000000001</v>
      </c>
    </row>
    <row r="78" spans="1:9" s="141" customFormat="1" ht="25.5">
      <c r="A78" s="151"/>
      <c r="B78" s="175"/>
      <c r="C78" s="14"/>
      <c r="D78" s="30" t="s">
        <v>175</v>
      </c>
      <c r="E78" s="176" t="s">
        <v>176</v>
      </c>
      <c r="F78" s="177"/>
      <c r="G78" s="31" t="s">
        <v>13</v>
      </c>
      <c r="H78" s="71">
        <f>F84</f>
        <v>1308.4000000000001</v>
      </c>
    </row>
    <row r="79" spans="1:9">
      <c r="A79" s="17"/>
      <c r="B79" s="27"/>
      <c r="C79" s="26"/>
      <c r="D79" s="21"/>
      <c r="E79" s="8" t="s">
        <v>182</v>
      </c>
      <c r="F79" s="16"/>
      <c r="G79" s="42"/>
      <c r="H79" s="71"/>
    </row>
    <row r="80" spans="1:9">
      <c r="A80" s="17"/>
      <c r="B80" s="27"/>
      <c r="C80" s="26"/>
      <c r="D80" s="21"/>
      <c r="E80" s="8" t="s">
        <v>177</v>
      </c>
      <c r="F80" s="168">
        <f>28+28</f>
        <v>56</v>
      </c>
      <c r="G80" s="41"/>
      <c r="H80" s="71"/>
    </row>
    <row r="81" spans="1:8">
      <c r="A81" s="17"/>
      <c r="C81" s="26"/>
      <c r="D81" s="21"/>
      <c r="E81" s="8" t="s">
        <v>518</v>
      </c>
      <c r="F81" s="168">
        <f>2.2*2</f>
        <v>4.4000000000000004</v>
      </c>
      <c r="G81" s="41"/>
      <c r="H81" s="71"/>
    </row>
    <row r="82" spans="1:8" ht="25.5">
      <c r="A82" s="17"/>
      <c r="C82" s="11"/>
      <c r="D82" s="21"/>
      <c r="E82" s="8" t="s">
        <v>180</v>
      </c>
      <c r="F82" s="168"/>
      <c r="G82" s="41"/>
      <c r="H82" s="71"/>
    </row>
    <row r="83" spans="1:8">
      <c r="A83" s="17"/>
      <c r="C83" s="11"/>
      <c r="D83" s="21"/>
      <c r="E83" s="8" t="s">
        <v>181</v>
      </c>
      <c r="F83" s="169">
        <f>624+624</f>
        <v>1248</v>
      </c>
      <c r="G83" s="41"/>
      <c r="H83" s="71"/>
    </row>
    <row r="84" spans="1:8">
      <c r="A84" s="17"/>
      <c r="C84" s="11"/>
      <c r="D84" s="21"/>
      <c r="E84" s="8"/>
      <c r="F84" s="168">
        <f>SUM(F80:F83)</f>
        <v>1308.4000000000001</v>
      </c>
      <c r="G84" s="41"/>
      <c r="H84" s="71"/>
    </row>
    <row r="85" spans="1:8" s="141" customFormat="1" ht="25.5">
      <c r="A85" s="142">
        <f>MAX(A$2:A84)+1</f>
        <v>14</v>
      </c>
      <c r="B85" s="73" t="s">
        <v>9</v>
      </c>
      <c r="C85" s="11" t="s">
        <v>520</v>
      </c>
      <c r="D85" s="28"/>
      <c r="E85" s="171" t="s">
        <v>521</v>
      </c>
      <c r="F85" s="172"/>
      <c r="G85" s="29" t="s">
        <v>11</v>
      </c>
      <c r="H85" s="70">
        <f>H86</f>
        <v>7</v>
      </c>
    </row>
    <row r="86" spans="1:8" s="141" customFormat="1" ht="25.5">
      <c r="A86" s="151"/>
      <c r="B86" s="175"/>
      <c r="C86" s="14"/>
      <c r="D86" s="30" t="s">
        <v>520</v>
      </c>
      <c r="E86" s="176" t="s">
        <v>521</v>
      </c>
      <c r="F86" s="177"/>
      <c r="G86" s="31" t="s">
        <v>11</v>
      </c>
      <c r="H86" s="71">
        <f>F87</f>
        <v>7</v>
      </c>
    </row>
    <row r="87" spans="1:8" ht="25.5">
      <c r="A87" s="17"/>
      <c r="C87" s="11"/>
      <c r="D87" s="21"/>
      <c r="E87" s="8" t="s">
        <v>602</v>
      </c>
      <c r="F87" s="168">
        <v>7</v>
      </c>
      <c r="G87" s="41"/>
      <c r="H87" s="71"/>
    </row>
    <row r="88" spans="1:8" s="141" customFormat="1" ht="25.5">
      <c r="A88" s="142">
        <f>MAX(A$2:A87)+1</f>
        <v>15</v>
      </c>
      <c r="B88" s="73" t="s">
        <v>9</v>
      </c>
      <c r="C88" s="11" t="s">
        <v>31</v>
      </c>
      <c r="D88" s="28"/>
      <c r="E88" s="171" t="s">
        <v>32</v>
      </c>
      <c r="F88" s="172"/>
      <c r="G88" s="29" t="s">
        <v>10</v>
      </c>
      <c r="H88" s="70">
        <f>H89</f>
        <v>61.92</v>
      </c>
    </row>
    <row r="89" spans="1:8" s="141" customFormat="1" ht="25.5">
      <c r="A89" s="151"/>
      <c r="B89" s="175"/>
      <c r="C89" s="14"/>
      <c r="D89" s="30" t="s">
        <v>31</v>
      </c>
      <c r="E89" s="176" t="s">
        <v>32</v>
      </c>
      <c r="F89" s="177"/>
      <c r="G89" s="31" t="s">
        <v>10</v>
      </c>
      <c r="H89" s="71">
        <f>ROUND(F92,2)</f>
        <v>61.92</v>
      </c>
    </row>
    <row r="90" spans="1:8" ht="25.5">
      <c r="A90" s="17"/>
      <c r="B90" s="27"/>
      <c r="C90" s="26"/>
      <c r="D90" s="21"/>
      <c r="E90" s="8" t="s">
        <v>603</v>
      </c>
      <c r="F90" s="16">
        <f>1.5*(149+102)*0.1*0.3</f>
        <v>11.295</v>
      </c>
      <c r="G90" s="42"/>
      <c r="H90" s="71"/>
    </row>
    <row r="91" spans="1:8" ht="25.5">
      <c r="A91" s="17"/>
      <c r="B91" s="27"/>
      <c r="C91" s="26"/>
      <c r="D91" s="21"/>
      <c r="E91" s="8" t="s">
        <v>174</v>
      </c>
      <c r="F91" s="169">
        <f>1.5*(149+102)*0.1+1.5*(10.2+7.1)*0.5</f>
        <v>50.625</v>
      </c>
      <c r="G91" s="41"/>
      <c r="H91" s="71"/>
    </row>
    <row r="92" spans="1:8">
      <c r="A92" s="17"/>
      <c r="B92" s="27"/>
      <c r="C92" s="26"/>
      <c r="D92" s="21"/>
      <c r="E92" s="170" t="s">
        <v>454</v>
      </c>
      <c r="F92" s="168">
        <f>SUM(F90:F91)</f>
        <v>61.92</v>
      </c>
      <c r="G92" s="41"/>
      <c r="H92" s="71"/>
    </row>
    <row r="93" spans="1:8" s="141" customFormat="1" ht="14.25">
      <c r="A93" s="231">
        <f>MAX(A$2:A91)+1</f>
        <v>16</v>
      </c>
      <c r="B93" s="252" t="s">
        <v>9</v>
      </c>
      <c r="C93" s="253" t="s">
        <v>14</v>
      </c>
      <c r="D93" s="240"/>
      <c r="E93" s="254" t="s">
        <v>15</v>
      </c>
      <c r="F93" s="255"/>
      <c r="G93" s="256" t="s">
        <v>16</v>
      </c>
      <c r="H93" s="257">
        <f>H94</f>
        <v>6121.32</v>
      </c>
    </row>
    <row r="94" spans="1:8" s="141" customFormat="1">
      <c r="A94" s="258"/>
      <c r="B94" s="259"/>
      <c r="C94" s="241"/>
      <c r="D94" s="260" t="s">
        <v>17</v>
      </c>
      <c r="E94" s="261" t="s">
        <v>18</v>
      </c>
      <c r="F94" s="262"/>
      <c r="G94" s="263" t="s">
        <v>16</v>
      </c>
      <c r="H94" s="117">
        <f>ROUND(F121,2)</f>
        <v>6121.32</v>
      </c>
    </row>
    <row r="95" spans="1:8" ht="12.75" customHeight="1">
      <c r="A95" s="17"/>
      <c r="B95" s="27"/>
      <c r="C95" s="26"/>
      <c r="D95" s="21"/>
      <c r="E95" s="8" t="s">
        <v>73</v>
      </c>
      <c r="F95" s="168"/>
      <c r="G95" s="41"/>
      <c r="H95" s="71"/>
    </row>
    <row r="96" spans="1:8" ht="12.75" customHeight="1">
      <c r="A96" s="17"/>
      <c r="B96" s="27"/>
      <c r="C96" s="26"/>
      <c r="D96" s="21"/>
      <c r="E96" s="8" t="s">
        <v>583</v>
      </c>
      <c r="F96" s="16">
        <f>24.62*2.5</f>
        <v>61.550000000000004</v>
      </c>
      <c r="G96" s="42"/>
      <c r="H96" s="71"/>
    </row>
    <row r="97" spans="1:9" ht="12.75" customHeight="1">
      <c r="A97" s="17"/>
      <c r="B97" s="27"/>
      <c r="C97" s="26"/>
      <c r="D97" s="21"/>
      <c r="E97" s="8" t="s">
        <v>757</v>
      </c>
      <c r="F97" s="16">
        <f xml:space="preserve"> (85.66+401.53)*2.4</f>
        <v>1169.2559999999999</v>
      </c>
      <c r="G97" s="42"/>
      <c r="H97" s="71"/>
    </row>
    <row r="98" spans="1:9" ht="12.75" customHeight="1">
      <c r="A98" s="17"/>
      <c r="B98" s="27"/>
      <c r="C98" s="26"/>
      <c r="D98" s="21"/>
      <c r="E98" s="8" t="s">
        <v>584</v>
      </c>
      <c r="F98" s="16">
        <f>22296.25*0.07</f>
        <v>1560.7375000000002</v>
      </c>
      <c r="G98" s="42"/>
      <c r="H98" s="71"/>
    </row>
    <row r="99" spans="1:9" ht="12.75" customHeight="1">
      <c r="A99" s="17"/>
      <c r="B99" s="27"/>
      <c r="C99" s="26"/>
      <c r="D99" s="21"/>
      <c r="E99" s="8" t="s">
        <v>585</v>
      </c>
      <c r="F99" s="16">
        <f>6565.99*0.073</f>
        <v>479.31726999999995</v>
      </c>
      <c r="G99" s="42"/>
      <c r="H99" s="71"/>
    </row>
    <row r="100" spans="1:9" ht="12.75" customHeight="1">
      <c r="A100" s="17"/>
      <c r="B100" s="27"/>
      <c r="C100" s="26"/>
      <c r="D100" s="21"/>
      <c r="E100" s="8" t="s">
        <v>586</v>
      </c>
      <c r="F100" s="16">
        <f>235*0.44</f>
        <v>103.4</v>
      </c>
      <c r="G100" s="42"/>
      <c r="H100" s="71"/>
    </row>
    <row r="101" spans="1:9" ht="12.75" customHeight="1">
      <c r="A101" s="17"/>
      <c r="B101" s="27"/>
      <c r="C101" s="26"/>
      <c r="D101" s="21"/>
      <c r="E101" s="8" t="s">
        <v>587</v>
      </c>
      <c r="F101" s="16">
        <f>305.5*0.4</f>
        <v>122.2</v>
      </c>
      <c r="G101" s="42"/>
      <c r="H101" s="71"/>
    </row>
    <row r="102" spans="1:9" ht="12.75" customHeight="1">
      <c r="A102" s="17"/>
      <c r="B102" s="27"/>
      <c r="C102" s="26"/>
      <c r="D102" s="21"/>
      <c r="E102" s="8" t="s">
        <v>588</v>
      </c>
      <c r="F102" s="16">
        <f>24*0.288</f>
        <v>6.911999999999999</v>
      </c>
      <c r="G102" s="42"/>
      <c r="H102" s="71"/>
    </row>
    <row r="103" spans="1:9" ht="12.75" customHeight="1">
      <c r="A103" s="17"/>
      <c r="B103" s="27"/>
      <c r="C103" s="26"/>
      <c r="D103" s="21"/>
      <c r="E103" s="8" t="s">
        <v>589</v>
      </c>
      <c r="F103" s="16">
        <f xml:space="preserve"> 61.92*2.2</f>
        <v>136.22400000000002</v>
      </c>
      <c r="G103" s="42"/>
      <c r="H103" s="71"/>
    </row>
    <row r="104" spans="1:9" ht="12.75" customHeight="1">
      <c r="A104" s="17"/>
      <c r="B104" s="27"/>
      <c r="C104" s="26"/>
      <c r="D104" s="21"/>
      <c r="E104" s="8" t="s">
        <v>591</v>
      </c>
      <c r="F104" s="64">
        <f xml:space="preserve"> 8013.56*0.056</f>
        <v>448.75936000000002</v>
      </c>
      <c r="G104" s="42"/>
      <c r="H104" s="71"/>
    </row>
    <row r="105" spans="1:9" ht="12.75" customHeight="1">
      <c r="A105" s="17"/>
      <c r="B105" s="27"/>
      <c r="C105" s="26"/>
      <c r="D105" s="21"/>
      <c r="E105" s="178" t="s">
        <v>55</v>
      </c>
      <c r="F105" s="16">
        <f>SUM(F96:F104)</f>
        <v>4088.3561299999997</v>
      </c>
      <c r="G105" s="42"/>
      <c r="H105" s="71"/>
    </row>
    <row r="106" spans="1:9" ht="12.75" customHeight="1">
      <c r="A106" s="17"/>
      <c r="B106" s="27"/>
      <c r="C106" s="26"/>
      <c r="D106" s="21"/>
      <c r="E106" s="8" t="s">
        <v>590</v>
      </c>
      <c r="F106" s="64"/>
      <c r="G106" s="42"/>
      <c r="H106" s="71"/>
    </row>
    <row r="107" spans="1:9">
      <c r="A107" s="17"/>
      <c r="B107" s="27"/>
      <c r="C107" s="26"/>
      <c r="D107" s="21"/>
      <c r="E107" s="8" t="s">
        <v>767</v>
      </c>
      <c r="F107" s="16">
        <f>1175*0.112+13597.29*0.127</f>
        <v>1858.4558300000001</v>
      </c>
      <c r="G107" s="42"/>
      <c r="H107" s="71"/>
    </row>
    <row r="108" spans="1:9">
      <c r="A108" s="17"/>
      <c r="B108" s="27"/>
      <c r="C108" s="26"/>
      <c r="D108" s="21"/>
      <c r="E108" s="245" t="s">
        <v>815</v>
      </c>
      <c r="F108" s="249">
        <f>11.75*2*11*0.181</f>
        <v>46.788499999999999</v>
      </c>
      <c r="G108" s="42"/>
      <c r="H108" s="71"/>
      <c r="I108" s="228"/>
    </row>
    <row r="109" spans="1:9">
      <c r="A109" s="17"/>
      <c r="B109" s="27"/>
      <c r="C109" s="26"/>
      <c r="D109" s="21"/>
      <c r="E109" s="250" t="s">
        <v>768</v>
      </c>
      <c r="F109" s="251">
        <f>SUM(F107:F108)</f>
        <v>1905.24433</v>
      </c>
      <c r="G109" s="42"/>
      <c r="H109" s="71"/>
    </row>
    <row r="110" spans="1:9">
      <c r="A110" s="17"/>
      <c r="B110" s="27"/>
      <c r="C110" s="26"/>
      <c r="D110" s="21"/>
      <c r="E110" s="8"/>
      <c r="F110" s="16"/>
      <c r="G110" s="42"/>
      <c r="H110" s="71"/>
    </row>
    <row r="111" spans="1:9">
      <c r="A111" s="17"/>
      <c r="B111" s="27"/>
      <c r="C111" s="26"/>
      <c r="D111" s="21"/>
      <c r="E111" s="8" t="s">
        <v>683</v>
      </c>
      <c r="F111" s="16">
        <f>20*2.088/4</f>
        <v>10.440000000000001</v>
      </c>
      <c r="G111" s="42"/>
      <c r="H111" s="71"/>
    </row>
    <row r="112" spans="1:9" ht="12.75" customHeight="1">
      <c r="A112" s="17"/>
      <c r="B112" s="27"/>
      <c r="C112" s="26"/>
      <c r="D112" s="21"/>
      <c r="E112" s="8" t="s">
        <v>56</v>
      </c>
      <c r="F112" s="38"/>
      <c r="G112" s="42"/>
      <c r="H112" s="71"/>
    </row>
    <row r="113" spans="1:9" ht="12.75" customHeight="1">
      <c r="A113" s="17"/>
      <c r="B113" s="27"/>
      <c r="C113" s="26"/>
      <c r="D113" s="21"/>
      <c r="E113" s="8" t="s">
        <v>673</v>
      </c>
      <c r="F113" s="16">
        <f>56*0.042</f>
        <v>2.3520000000000003</v>
      </c>
      <c r="G113" s="42"/>
      <c r="H113" s="71"/>
    </row>
    <row r="114" spans="1:9" ht="12.75" customHeight="1">
      <c r="A114" s="17"/>
      <c r="B114" s="27"/>
      <c r="C114" s="26"/>
      <c r="D114" s="21"/>
      <c r="E114" s="8" t="s">
        <v>672</v>
      </c>
      <c r="F114" s="16">
        <f>4.4*1.75*0.01</f>
        <v>7.7000000000000013E-2</v>
      </c>
      <c r="G114" s="42"/>
      <c r="H114" s="71"/>
    </row>
    <row r="115" spans="1:9" ht="12.75" customHeight="1">
      <c r="A115" s="17"/>
      <c r="B115" s="27"/>
      <c r="C115" s="26"/>
      <c r="D115" s="21"/>
      <c r="E115" s="8" t="s">
        <v>671</v>
      </c>
      <c r="F115" s="16">
        <f>1248*0.083</f>
        <v>103.584</v>
      </c>
      <c r="G115" s="42"/>
      <c r="H115" s="71"/>
    </row>
    <row r="116" spans="1:9" ht="12.75" customHeight="1">
      <c r="A116" s="17"/>
      <c r="B116" s="27"/>
      <c r="C116" s="26"/>
      <c r="D116" s="21"/>
      <c r="E116" s="8" t="s">
        <v>682</v>
      </c>
      <c r="F116" s="16">
        <f>31*2*0.001</f>
        <v>6.2E-2</v>
      </c>
      <c r="G116" s="42"/>
      <c r="H116" s="71"/>
    </row>
    <row r="117" spans="1:9" ht="12.75" customHeight="1">
      <c r="A117" s="17"/>
      <c r="B117" s="27"/>
      <c r="C117" s="26"/>
      <c r="D117" s="21"/>
      <c r="E117" s="245" t="s">
        <v>832</v>
      </c>
      <c r="F117" s="251">
        <f>13.5*0.2</f>
        <v>2.7</v>
      </c>
      <c r="G117" s="42"/>
      <c r="H117" s="71"/>
      <c r="I117" s="228"/>
    </row>
    <row r="118" spans="1:9" ht="12.75" customHeight="1">
      <c r="A118" s="17"/>
      <c r="B118" s="27"/>
      <c r="C118" s="26"/>
      <c r="D118" s="21"/>
      <c r="E118" s="245" t="s">
        <v>821</v>
      </c>
      <c r="F118" s="249">
        <f>34*0.25</f>
        <v>8.5</v>
      </c>
      <c r="G118" s="42"/>
      <c r="H118" s="71"/>
      <c r="I118" s="228"/>
    </row>
    <row r="119" spans="1:9" ht="12.75" customHeight="1">
      <c r="A119" s="17"/>
      <c r="B119" s="27"/>
      <c r="C119" s="26"/>
      <c r="D119" s="21"/>
      <c r="E119" s="250" t="s">
        <v>674</v>
      </c>
      <c r="F119" s="251">
        <f>SUM(F113:F118)</f>
        <v>117.27500000000001</v>
      </c>
      <c r="G119" s="42"/>
      <c r="H119" s="71"/>
    </row>
    <row r="120" spans="1:9" ht="12.75" customHeight="1">
      <c r="A120" s="17"/>
      <c r="B120" s="25"/>
      <c r="C120" s="23"/>
      <c r="D120" s="21"/>
      <c r="E120" s="178"/>
      <c r="F120" s="16"/>
      <c r="G120" s="42"/>
      <c r="H120" s="71"/>
    </row>
    <row r="121" spans="1:9" ht="12.75" customHeight="1">
      <c r="A121" s="17"/>
      <c r="B121" s="25"/>
      <c r="C121" s="23"/>
      <c r="D121" s="21"/>
      <c r="E121" s="250" t="s">
        <v>57</v>
      </c>
      <c r="F121" s="251">
        <f>F105+F109+F111+F119</f>
        <v>6121.3154599999989</v>
      </c>
      <c r="G121" s="42"/>
      <c r="H121" s="71"/>
    </row>
    <row r="122" spans="1:9" s="141" customFormat="1" ht="25.5">
      <c r="A122" s="142">
        <f>MAX(A$2:A121)+1</f>
        <v>17</v>
      </c>
      <c r="B122" s="73" t="s">
        <v>9</v>
      </c>
      <c r="C122" s="11" t="s">
        <v>33</v>
      </c>
      <c r="D122" s="28"/>
      <c r="E122" s="171" t="s">
        <v>34</v>
      </c>
      <c r="F122" s="172"/>
      <c r="G122" s="29" t="s">
        <v>12</v>
      </c>
      <c r="H122" s="70">
        <f>H123</f>
        <v>22788.25</v>
      </c>
    </row>
    <row r="123" spans="1:9" s="141" customFormat="1" ht="25.5">
      <c r="A123" s="151"/>
      <c r="B123" s="175"/>
      <c r="C123" s="14"/>
      <c r="D123" s="30" t="s">
        <v>35</v>
      </c>
      <c r="E123" s="176" t="s">
        <v>36</v>
      </c>
      <c r="F123" s="177"/>
      <c r="G123" s="31" t="s">
        <v>12</v>
      </c>
      <c r="H123" s="71">
        <f>ROUND(F135,2)</f>
        <v>22788.25</v>
      </c>
    </row>
    <row r="124" spans="1:9" ht="12.75" customHeight="1">
      <c r="A124" s="17"/>
      <c r="B124" s="27"/>
      <c r="C124" s="26"/>
      <c r="D124" s="21"/>
      <c r="E124" s="8" t="s">
        <v>207</v>
      </c>
      <c r="F124" s="168"/>
      <c r="G124" s="41"/>
      <c r="H124" s="71"/>
    </row>
    <row r="125" spans="1:9" ht="12.75" customHeight="1">
      <c r="A125" s="35"/>
      <c r="B125" s="27"/>
      <c r="C125" s="26"/>
      <c r="D125" s="21"/>
      <c r="E125" s="8" t="s">
        <v>208</v>
      </c>
      <c r="F125" s="168">
        <f>4.87*615.4</f>
        <v>2996.998</v>
      </c>
      <c r="G125" s="41"/>
      <c r="H125" s="71"/>
    </row>
    <row r="126" spans="1:9" ht="12.75" customHeight="1">
      <c r="A126" s="35"/>
      <c r="B126" s="27"/>
      <c r="C126" s="26"/>
      <c r="D126" s="21"/>
      <c r="E126" s="8" t="s">
        <v>209</v>
      </c>
      <c r="F126" s="168">
        <f>13.125*615.4</f>
        <v>8077.125</v>
      </c>
      <c r="G126" s="41"/>
      <c r="H126" s="71"/>
    </row>
    <row r="127" spans="1:9" ht="12.75" customHeight="1">
      <c r="A127" s="35"/>
      <c r="B127" s="27"/>
      <c r="C127" s="26"/>
      <c r="D127" s="21"/>
      <c r="E127" s="8" t="s">
        <v>210</v>
      </c>
      <c r="F127" s="169">
        <f>13.125*615.4</f>
        <v>8077.125</v>
      </c>
      <c r="G127" s="41"/>
      <c r="H127" s="71"/>
    </row>
    <row r="128" spans="1:9" ht="12.75" customHeight="1">
      <c r="A128" s="35"/>
      <c r="B128" s="27"/>
      <c r="C128" s="26"/>
      <c r="D128" s="21"/>
      <c r="E128" s="8" t="s">
        <v>215</v>
      </c>
      <c r="F128" s="168">
        <f>SUM(F125:F127)</f>
        <v>19151.248</v>
      </c>
      <c r="G128" s="41"/>
      <c r="H128" s="71"/>
    </row>
    <row r="129" spans="1:8" ht="12.75" customHeight="1">
      <c r="A129" s="35"/>
      <c r="B129" s="27"/>
      <c r="C129" s="26"/>
      <c r="D129" s="21"/>
      <c r="E129" s="8" t="s">
        <v>211</v>
      </c>
      <c r="F129" s="168"/>
      <c r="G129" s="41"/>
      <c r="H129" s="71"/>
    </row>
    <row r="130" spans="1:8" ht="12.75" customHeight="1">
      <c r="A130" s="35"/>
      <c r="B130" s="27"/>
      <c r="C130" s="26"/>
      <c r="D130" s="57"/>
      <c r="E130" s="8" t="s">
        <v>212</v>
      </c>
      <c r="F130" s="168">
        <f>2636+(5+1.25)*2*0.15*16</f>
        <v>2666</v>
      </c>
      <c r="G130" s="41"/>
      <c r="H130" s="71"/>
    </row>
    <row r="131" spans="1:8" ht="12.75" customHeight="1">
      <c r="A131" s="35"/>
      <c r="B131" s="27"/>
      <c r="C131" s="26"/>
      <c r="D131" s="57"/>
      <c r="E131" s="8" t="s">
        <v>213</v>
      </c>
      <c r="F131" s="168">
        <v>141</v>
      </c>
      <c r="G131" s="41"/>
      <c r="H131" s="71"/>
    </row>
    <row r="132" spans="1:8" ht="12.75" customHeight="1">
      <c r="A132" s="35"/>
      <c r="B132" s="27"/>
      <c r="C132" s="26"/>
      <c r="D132" s="21"/>
      <c r="E132" s="8" t="s">
        <v>214</v>
      </c>
      <c r="F132" s="169">
        <v>338</v>
      </c>
      <c r="G132" s="41"/>
      <c r="H132" s="71"/>
    </row>
    <row r="133" spans="1:8" ht="12.75" customHeight="1">
      <c r="A133" s="35"/>
      <c r="B133" s="27"/>
      <c r="C133" s="26"/>
      <c r="D133" s="21"/>
      <c r="E133" s="170" t="s">
        <v>215</v>
      </c>
      <c r="F133" s="168">
        <f>SUM(F130:F132)</f>
        <v>3145</v>
      </c>
      <c r="G133" s="41"/>
      <c r="H133" s="71"/>
    </row>
    <row r="134" spans="1:8" ht="12.75" customHeight="1">
      <c r="A134" s="35"/>
      <c r="B134" s="27"/>
      <c r="C134" s="26"/>
      <c r="D134" s="21"/>
      <c r="E134" s="8" t="s">
        <v>726</v>
      </c>
      <c r="F134" s="169">
        <f>(146+100)*2</f>
        <v>492</v>
      </c>
      <c r="G134" s="41"/>
      <c r="H134" s="71"/>
    </row>
    <row r="135" spans="1:8" ht="12.75" customHeight="1">
      <c r="A135" s="35"/>
      <c r="B135" s="27"/>
      <c r="C135" s="26"/>
      <c r="D135" s="21"/>
      <c r="E135" s="170" t="s">
        <v>454</v>
      </c>
      <c r="F135" s="168">
        <f>F128+F133+F134</f>
        <v>22788.248</v>
      </c>
      <c r="G135" s="41"/>
      <c r="H135" s="71"/>
    </row>
    <row r="136" spans="1:8" s="141" customFormat="1" ht="25.5">
      <c r="A136" s="142">
        <f>MAX(A$2:A135)+1</f>
        <v>18</v>
      </c>
      <c r="B136" s="73" t="s">
        <v>9</v>
      </c>
      <c r="C136" s="11" t="s">
        <v>98</v>
      </c>
      <c r="D136" s="28"/>
      <c r="E136" s="171" t="s">
        <v>99</v>
      </c>
      <c r="F136" s="172"/>
      <c r="G136" s="29" t="s">
        <v>12</v>
      </c>
      <c r="H136" s="70">
        <f>H137</f>
        <v>30.6</v>
      </c>
    </row>
    <row r="137" spans="1:8" s="141" customFormat="1" ht="25.5">
      <c r="A137" s="151"/>
      <c r="B137" s="175"/>
      <c r="C137" s="14"/>
      <c r="D137" s="30" t="s">
        <v>100</v>
      </c>
      <c r="E137" s="176" t="s">
        <v>101</v>
      </c>
      <c r="F137" s="177"/>
      <c r="G137" s="31" t="s">
        <v>12</v>
      </c>
      <c r="H137" s="71">
        <f>ROUND(F138,2)</f>
        <v>30.6</v>
      </c>
    </row>
    <row r="138" spans="1:8" ht="12.75" customHeight="1">
      <c r="A138" s="35"/>
      <c r="B138" s="27"/>
      <c r="C138" s="26"/>
      <c r="D138" s="21"/>
      <c r="E138" s="8" t="s">
        <v>625</v>
      </c>
      <c r="F138" s="168">
        <f>10*17*2*0.3*0.3</f>
        <v>30.599999999999998</v>
      </c>
      <c r="G138" s="41"/>
      <c r="H138" s="71"/>
    </row>
    <row r="139" spans="1:8" s="141" customFormat="1" ht="25.5">
      <c r="A139" s="142">
        <f>MAX(A$2:A138)+1</f>
        <v>19</v>
      </c>
      <c r="B139" s="73" t="s">
        <v>9</v>
      </c>
      <c r="C139" s="11" t="s">
        <v>183</v>
      </c>
      <c r="D139" s="28"/>
      <c r="E139" s="171" t="s">
        <v>184</v>
      </c>
      <c r="F139" s="172"/>
      <c r="G139" s="29" t="s">
        <v>12</v>
      </c>
      <c r="H139" s="70">
        <f>H140+H143</f>
        <v>14772.29</v>
      </c>
    </row>
    <row r="140" spans="1:8" s="141" customFormat="1" ht="25.5">
      <c r="A140" s="151"/>
      <c r="B140" s="175"/>
      <c r="C140" s="14"/>
      <c r="D140" s="30" t="s">
        <v>187</v>
      </c>
      <c r="E140" s="176" t="s">
        <v>188</v>
      </c>
      <c r="F140" s="177"/>
      <c r="G140" s="31" t="s">
        <v>12</v>
      </c>
      <c r="H140" s="71">
        <f>ROUND(F142,2)</f>
        <v>1175</v>
      </c>
    </row>
    <row r="141" spans="1:8">
      <c r="A141" s="17"/>
      <c r="B141" s="27"/>
      <c r="C141" s="26"/>
      <c r="D141" s="13"/>
      <c r="E141" s="8" t="s">
        <v>189</v>
      </c>
      <c r="F141" s="168"/>
      <c r="G141" s="31"/>
      <c r="H141" s="71"/>
    </row>
    <row r="142" spans="1:8">
      <c r="A142" s="17"/>
      <c r="B142" s="27"/>
      <c r="C142" s="26"/>
      <c r="D142" s="13"/>
      <c r="E142" s="8" t="s">
        <v>186</v>
      </c>
      <c r="F142" s="168">
        <f>2*50*11.75</f>
        <v>1175</v>
      </c>
      <c r="G142" s="31"/>
      <c r="H142" s="71"/>
    </row>
    <row r="143" spans="1:8" s="141" customFormat="1" ht="25.5">
      <c r="A143" s="151"/>
      <c r="B143" s="175"/>
      <c r="C143" s="14"/>
      <c r="D143" s="30" t="s">
        <v>190</v>
      </c>
      <c r="E143" s="176" t="s">
        <v>191</v>
      </c>
      <c r="F143" s="177"/>
      <c r="G143" s="31" t="s">
        <v>12</v>
      </c>
      <c r="H143" s="71">
        <f>ROUND(F149,2)</f>
        <v>13597.29</v>
      </c>
    </row>
    <row r="144" spans="1:8">
      <c r="A144" s="17"/>
      <c r="B144" s="27"/>
      <c r="C144" s="26"/>
      <c r="D144" s="13"/>
      <c r="E144" s="8" t="s">
        <v>189</v>
      </c>
      <c r="F144" s="168"/>
      <c r="G144" s="31"/>
      <c r="H144" s="71"/>
    </row>
    <row r="145" spans="1:9">
      <c r="A145" s="17"/>
      <c r="B145" s="27"/>
      <c r="C145" s="26"/>
      <c r="D145" s="13"/>
      <c r="E145" s="8" t="s">
        <v>192</v>
      </c>
      <c r="F145" s="168">
        <f>2*14.6*11.75</f>
        <v>343.09999999999997</v>
      </c>
      <c r="G145" s="31"/>
      <c r="H145" s="71"/>
    </row>
    <row r="146" spans="1:9" ht="25.5">
      <c r="A146" s="17"/>
      <c r="B146" s="27"/>
      <c r="C146" s="26"/>
      <c r="D146" s="13"/>
      <c r="E146" s="8" t="s">
        <v>758</v>
      </c>
      <c r="F146" s="168">
        <f>(2*13.6*11.75)*2</f>
        <v>639.19999999999993</v>
      </c>
      <c r="G146" s="31"/>
      <c r="H146" s="71"/>
    </row>
    <row r="147" spans="1:9" ht="38.25">
      <c r="A147" s="17"/>
      <c r="B147" s="27"/>
      <c r="C147" s="26"/>
      <c r="D147" s="13"/>
      <c r="E147" s="8" t="s">
        <v>759</v>
      </c>
      <c r="F147" s="168">
        <f>10.75*(35.19+69.48+69.48+69.48+69.48+70.06+77.63+36.34+78.48+35.17)*2</f>
        <v>13131.984999999999</v>
      </c>
      <c r="G147" s="31"/>
      <c r="H147" s="71"/>
    </row>
    <row r="148" spans="1:9" s="105" customFormat="1" ht="25.5">
      <c r="A148" s="17"/>
      <c r="B148" s="27"/>
      <c r="C148" s="26"/>
      <c r="D148" s="13"/>
      <c r="E148" s="8" t="s">
        <v>761</v>
      </c>
      <c r="F148" s="179">
        <f xml:space="preserve"> -11.75*2*11*2</f>
        <v>-517</v>
      </c>
      <c r="G148" s="31"/>
      <c r="H148" s="71"/>
      <c r="I148" s="105" t="s">
        <v>816</v>
      </c>
    </row>
    <row r="149" spans="1:9">
      <c r="A149" s="17"/>
      <c r="B149" s="27"/>
      <c r="C149" s="26"/>
      <c r="D149" s="13"/>
      <c r="E149" s="170" t="s">
        <v>454</v>
      </c>
      <c r="F149" s="168">
        <f>SUM(F145:F148)</f>
        <v>13597.284999999998</v>
      </c>
      <c r="G149" s="31"/>
      <c r="H149" s="71"/>
    </row>
    <row r="150" spans="1:9" s="141" customFormat="1" ht="25.5">
      <c r="A150" s="142">
        <f>MAX(A$2:A147)+1</f>
        <v>20</v>
      </c>
      <c r="B150" s="73" t="s">
        <v>9</v>
      </c>
      <c r="C150" s="11" t="s">
        <v>217</v>
      </c>
      <c r="D150" s="28"/>
      <c r="E150" s="171" t="s">
        <v>218</v>
      </c>
      <c r="F150" s="172"/>
      <c r="G150" s="29" t="s">
        <v>13</v>
      </c>
      <c r="H150" s="70">
        <f>H151</f>
        <v>1497.96</v>
      </c>
    </row>
    <row r="151" spans="1:9" s="141" customFormat="1">
      <c r="A151" s="151"/>
      <c r="B151" s="175"/>
      <c r="C151" s="14"/>
      <c r="D151" s="30" t="s">
        <v>217</v>
      </c>
      <c r="E151" s="176" t="s">
        <v>218</v>
      </c>
      <c r="F151" s="177"/>
      <c r="G151" s="31" t="s">
        <v>13</v>
      </c>
      <c r="H151" s="71">
        <f>ROUND(F155,2)</f>
        <v>1497.96</v>
      </c>
    </row>
    <row r="152" spans="1:9">
      <c r="A152" s="17"/>
      <c r="B152" s="27"/>
      <c r="C152" s="26"/>
      <c r="D152" s="13"/>
      <c r="E152" s="8" t="s">
        <v>219</v>
      </c>
      <c r="F152" s="168">
        <f>2*11</f>
        <v>22</v>
      </c>
      <c r="G152" s="31"/>
      <c r="H152" s="71"/>
    </row>
    <row r="153" spans="1:9" ht="25.5">
      <c r="A153" s="17"/>
      <c r="B153" s="27"/>
      <c r="C153" s="26"/>
      <c r="D153" s="13"/>
      <c r="E153" s="8" t="s">
        <v>314</v>
      </c>
      <c r="F153" s="168">
        <f>616+3*2+615.5+3*2</f>
        <v>1243.5</v>
      </c>
      <c r="G153" s="31"/>
      <c r="H153" s="71"/>
    </row>
    <row r="154" spans="1:9" ht="25.5">
      <c r="A154" s="17"/>
      <c r="B154" s="27"/>
      <c r="C154" s="26"/>
      <c r="D154" s="13"/>
      <c r="E154" s="8" t="s">
        <v>574</v>
      </c>
      <c r="F154" s="169">
        <f>0.96*118+1.01*118</f>
        <v>232.46</v>
      </c>
      <c r="G154" s="31"/>
      <c r="H154" s="71"/>
    </row>
    <row r="155" spans="1:9">
      <c r="A155" s="17"/>
      <c r="B155" s="27"/>
      <c r="C155" s="26"/>
      <c r="D155" s="13"/>
      <c r="E155" s="170" t="s">
        <v>454</v>
      </c>
      <c r="F155" s="168">
        <f>SUM(F152:F154)</f>
        <v>1497.96</v>
      </c>
      <c r="G155" s="31"/>
      <c r="H155" s="71"/>
    </row>
    <row r="156" spans="1:9" s="141" customFormat="1" ht="25.5">
      <c r="A156" s="142">
        <f>MAX(A$2:A152)+1</f>
        <v>21</v>
      </c>
      <c r="B156" s="73" t="s">
        <v>9</v>
      </c>
      <c r="C156" s="11" t="s">
        <v>86</v>
      </c>
      <c r="D156" s="28"/>
      <c r="E156" s="171" t="s">
        <v>87</v>
      </c>
      <c r="F156" s="172"/>
      <c r="G156" s="29" t="s">
        <v>13</v>
      </c>
      <c r="H156" s="70">
        <f>H157</f>
        <v>21.5</v>
      </c>
    </row>
    <row r="157" spans="1:9" s="141" customFormat="1" ht="25.5">
      <c r="A157" s="151"/>
      <c r="B157" s="175"/>
      <c r="C157" s="14"/>
      <c r="D157" s="30" t="s">
        <v>220</v>
      </c>
      <c r="E157" s="176" t="s">
        <v>221</v>
      </c>
      <c r="F157" s="177"/>
      <c r="G157" s="31" t="s">
        <v>13</v>
      </c>
      <c r="H157" s="71">
        <f>ROUND(F158,2)</f>
        <v>21.5</v>
      </c>
    </row>
    <row r="158" spans="1:9" ht="25.5">
      <c r="A158" s="35"/>
      <c r="B158" s="27"/>
      <c r="C158" s="26"/>
      <c r="D158" s="21"/>
      <c r="E158" s="8" t="s">
        <v>222</v>
      </c>
      <c r="F158" s="16">
        <f>2*10.75</f>
        <v>21.5</v>
      </c>
      <c r="G158" s="42"/>
      <c r="H158" s="71"/>
    </row>
    <row r="159" spans="1:9" s="141" customFormat="1" ht="25.5">
      <c r="A159" s="142">
        <f>MAX(A$2:A158)+1</f>
        <v>22</v>
      </c>
      <c r="B159" s="73" t="s">
        <v>9</v>
      </c>
      <c r="C159" s="11" t="s">
        <v>223</v>
      </c>
      <c r="D159" s="28"/>
      <c r="E159" s="171" t="s">
        <v>224</v>
      </c>
      <c r="F159" s="172"/>
      <c r="G159" s="29" t="s">
        <v>13</v>
      </c>
      <c r="H159" s="70">
        <f>H160+H165</f>
        <v>1098.5</v>
      </c>
    </row>
    <row r="160" spans="1:9" s="141" customFormat="1" ht="25.5">
      <c r="A160" s="151"/>
      <c r="B160" s="175"/>
      <c r="C160" s="14"/>
      <c r="D160" s="30" t="s">
        <v>225</v>
      </c>
      <c r="E160" s="176" t="s">
        <v>226</v>
      </c>
      <c r="F160" s="177"/>
      <c r="G160" s="31" t="s">
        <v>13</v>
      </c>
      <c r="H160" s="71">
        <f>ROUND(F164,2)</f>
        <v>560</v>
      </c>
    </row>
    <row r="161" spans="1:14" ht="25.5">
      <c r="A161" s="35"/>
      <c r="B161" s="27"/>
      <c r="C161" s="26"/>
      <c r="D161" s="57"/>
      <c r="E161" s="8" t="s">
        <v>770</v>
      </c>
      <c r="F161" s="16">
        <f>11.75*2*11*2</f>
        <v>517</v>
      </c>
      <c r="G161" s="42"/>
      <c r="H161" s="71"/>
    </row>
    <row r="162" spans="1:14" ht="25.5">
      <c r="A162" s="35"/>
      <c r="B162" s="27"/>
      <c r="C162" s="26"/>
      <c r="D162" s="57"/>
      <c r="E162" s="8" t="s">
        <v>229</v>
      </c>
      <c r="F162" s="16">
        <f>2*10.75</f>
        <v>21.5</v>
      </c>
      <c r="G162" s="42"/>
      <c r="H162" s="71"/>
    </row>
    <row r="163" spans="1:14" ht="12.75" customHeight="1">
      <c r="A163" s="35"/>
      <c r="B163" s="27"/>
      <c r="C163" s="26"/>
      <c r="D163" s="21"/>
      <c r="E163" s="8" t="s">
        <v>230</v>
      </c>
      <c r="F163" s="64">
        <f>2*10.75</f>
        <v>21.5</v>
      </c>
      <c r="G163" s="42"/>
      <c r="H163" s="71"/>
    </row>
    <row r="164" spans="1:14">
      <c r="A164" s="35"/>
      <c r="B164" s="27"/>
      <c r="C164" s="26"/>
      <c r="D164" s="30"/>
      <c r="E164" s="170" t="s">
        <v>454</v>
      </c>
      <c r="F164" s="168">
        <f>SUM(F161:F163)</f>
        <v>560</v>
      </c>
      <c r="G164" s="31"/>
      <c r="H164" s="71"/>
    </row>
    <row r="165" spans="1:14" s="141" customFormat="1" ht="25.5">
      <c r="A165" s="151"/>
      <c r="B165" s="175"/>
      <c r="C165" s="14"/>
      <c r="D165" s="30" t="s">
        <v>227</v>
      </c>
      <c r="E165" s="176" t="s">
        <v>228</v>
      </c>
      <c r="F165" s="177"/>
      <c r="G165" s="31" t="s">
        <v>13</v>
      </c>
      <c r="H165" s="71">
        <f>ROUND(F168,2)</f>
        <v>538.5</v>
      </c>
    </row>
    <row r="166" spans="1:14" ht="25.5">
      <c r="A166" s="35"/>
      <c r="B166" s="27"/>
      <c r="C166" s="26"/>
      <c r="D166" s="21"/>
      <c r="E166" s="8" t="s">
        <v>760</v>
      </c>
      <c r="F166" s="168">
        <f>11.75*2*11*2</f>
        <v>517</v>
      </c>
      <c r="G166" s="41"/>
      <c r="H166" s="71"/>
    </row>
    <row r="167" spans="1:14" ht="12.75" customHeight="1">
      <c r="A167" s="35"/>
      <c r="B167" s="27"/>
      <c r="C167" s="26"/>
      <c r="D167" s="21"/>
      <c r="E167" s="8" t="s">
        <v>231</v>
      </c>
      <c r="F167" s="169">
        <f>2*10.75</f>
        <v>21.5</v>
      </c>
      <c r="G167" s="41"/>
      <c r="H167" s="71"/>
    </row>
    <row r="168" spans="1:14" ht="12.75" customHeight="1">
      <c r="A168" s="35"/>
      <c r="B168" s="27"/>
      <c r="C168" s="26"/>
      <c r="D168" s="21"/>
      <c r="E168" s="170" t="s">
        <v>454</v>
      </c>
      <c r="F168" s="168">
        <f>SUM(F166:F167)</f>
        <v>538.5</v>
      </c>
      <c r="G168" s="41"/>
      <c r="H168" s="71"/>
    </row>
    <row r="169" spans="1:14" s="141" customFormat="1" ht="14.25">
      <c r="A169" s="142">
        <f>MAX(A$2:A163)+1</f>
        <v>23</v>
      </c>
      <c r="B169" s="73" t="s">
        <v>9</v>
      </c>
      <c r="C169" s="11" t="s">
        <v>242</v>
      </c>
      <c r="D169" s="28"/>
      <c r="E169" s="171" t="s">
        <v>243</v>
      </c>
      <c r="F169" s="172"/>
      <c r="G169" s="29" t="s">
        <v>13</v>
      </c>
      <c r="H169" s="70">
        <f>H170+H172+H174</f>
        <v>102.4</v>
      </c>
    </row>
    <row r="170" spans="1:14" s="141" customFormat="1">
      <c r="A170" s="151"/>
      <c r="B170" s="175"/>
      <c r="C170" s="14"/>
      <c r="D170" s="30" t="s">
        <v>244</v>
      </c>
      <c r="E170" s="176" t="s">
        <v>245</v>
      </c>
      <c r="F170" s="177"/>
      <c r="G170" s="31" t="s">
        <v>13</v>
      </c>
      <c r="H170" s="71">
        <f>ROUND(F171,2)</f>
        <v>61.2</v>
      </c>
    </row>
    <row r="171" spans="1:14" ht="12.75" customHeight="1">
      <c r="A171" s="35"/>
      <c r="B171" s="27"/>
      <c r="C171" s="26"/>
      <c r="D171" s="21"/>
      <c r="E171" s="8" t="s">
        <v>522</v>
      </c>
      <c r="F171" s="168">
        <f>306*0.2</f>
        <v>61.2</v>
      </c>
      <c r="G171" s="41"/>
      <c r="H171" s="71"/>
      <c r="J171" s="141"/>
    </row>
    <row r="172" spans="1:14" s="141" customFormat="1">
      <c r="A172" s="151"/>
      <c r="B172" s="175"/>
      <c r="C172" s="14"/>
      <c r="D172" s="30" t="s">
        <v>523</v>
      </c>
      <c r="E172" s="176" t="s">
        <v>524</v>
      </c>
      <c r="F172" s="177"/>
      <c r="G172" s="31" t="s">
        <v>13</v>
      </c>
      <c r="H172" s="71">
        <f>ROUND(F173,2)</f>
        <v>23.6</v>
      </c>
    </row>
    <row r="173" spans="1:14" ht="12.75" customHeight="1">
      <c r="A173" s="35"/>
      <c r="B173" s="27"/>
      <c r="C173" s="26"/>
      <c r="D173" s="21"/>
      <c r="E173" s="8" t="s">
        <v>525</v>
      </c>
      <c r="F173" s="168">
        <f>59*0.2*2</f>
        <v>23.6</v>
      </c>
      <c r="G173" s="41"/>
      <c r="H173" s="71"/>
    </row>
    <row r="174" spans="1:14" s="141" customFormat="1">
      <c r="A174" s="151"/>
      <c r="B174" s="175"/>
      <c r="C174" s="14"/>
      <c r="D174" s="30" t="s">
        <v>246</v>
      </c>
      <c r="E174" s="176" t="s">
        <v>247</v>
      </c>
      <c r="F174" s="177"/>
      <c r="G174" s="31" t="s">
        <v>13</v>
      </c>
      <c r="H174" s="71">
        <f>ROUND(F175,2)</f>
        <v>17.600000000000001</v>
      </c>
    </row>
    <row r="175" spans="1:14" ht="12.75" customHeight="1">
      <c r="A175" s="35"/>
      <c r="B175" s="27"/>
      <c r="C175" s="26"/>
      <c r="D175" s="21"/>
      <c r="E175" s="8" t="s">
        <v>248</v>
      </c>
      <c r="F175" s="168">
        <f>44*0.2*2</f>
        <v>17.600000000000001</v>
      </c>
      <c r="G175" s="41"/>
      <c r="H175" s="71"/>
      <c r="L175" s="153"/>
    </row>
    <row r="176" spans="1:14" s="141" customFormat="1" ht="15">
      <c r="A176" s="142">
        <f>MAX(A$2:A170)+1</f>
        <v>24</v>
      </c>
      <c r="B176" s="73" t="s">
        <v>9</v>
      </c>
      <c r="C176" s="11" t="s">
        <v>249</v>
      </c>
      <c r="D176" s="28"/>
      <c r="E176" s="171" t="s">
        <v>250</v>
      </c>
      <c r="F176" s="172"/>
      <c r="G176" s="29" t="s">
        <v>13</v>
      </c>
      <c r="H176" s="70">
        <f>H177</f>
        <v>126.4</v>
      </c>
      <c r="M176" s="154"/>
      <c r="N176" s="155"/>
    </row>
    <row r="177" spans="1:13" s="141" customFormat="1">
      <c r="A177" s="151"/>
      <c r="B177" s="175"/>
      <c r="C177" s="14"/>
      <c r="D177" s="30" t="s">
        <v>251</v>
      </c>
      <c r="E177" s="176" t="s">
        <v>252</v>
      </c>
      <c r="F177" s="177"/>
      <c r="G177" s="31" t="s">
        <v>13</v>
      </c>
      <c r="H177" s="71">
        <f>ROUND(F182,2)</f>
        <v>126.4</v>
      </c>
    </row>
    <row r="178" spans="1:13" ht="12.75" customHeight="1">
      <c r="A178" s="35"/>
      <c r="B178" s="27"/>
      <c r="C178" s="26"/>
      <c r="D178" s="21"/>
      <c r="E178" s="8" t="s">
        <v>526</v>
      </c>
      <c r="F178" s="168">
        <f>618*0.1</f>
        <v>61.800000000000004</v>
      </c>
      <c r="G178" s="41"/>
      <c r="H178" s="71"/>
      <c r="L178" s="15"/>
      <c r="M178" s="15"/>
    </row>
    <row r="179" spans="1:13" ht="12.75" customHeight="1">
      <c r="A179" s="35"/>
      <c r="B179" s="27"/>
      <c r="C179" s="26"/>
      <c r="D179" s="21"/>
      <c r="E179" s="8" t="s">
        <v>527</v>
      </c>
      <c r="F179" s="168">
        <f>23*2*0.1</f>
        <v>4.6000000000000005</v>
      </c>
      <c r="G179" s="41"/>
      <c r="H179" s="71"/>
    </row>
    <row r="180" spans="1:13" ht="12.75" customHeight="1">
      <c r="A180" s="35"/>
      <c r="B180" s="27"/>
      <c r="C180" s="26"/>
      <c r="D180" s="21"/>
      <c r="E180" s="8" t="s">
        <v>596</v>
      </c>
      <c r="F180" s="168">
        <f>4*2*0.1</f>
        <v>0.8</v>
      </c>
      <c r="G180" s="41"/>
      <c r="H180" s="71"/>
    </row>
    <row r="181" spans="1:13" ht="12.75" customHeight="1">
      <c r="A181" s="35"/>
      <c r="B181" s="27"/>
      <c r="C181" s="26"/>
      <c r="D181" s="21"/>
      <c r="E181" s="8" t="s">
        <v>253</v>
      </c>
      <c r="F181" s="169">
        <f>74*0.2*2*2</f>
        <v>59.2</v>
      </c>
      <c r="G181" s="41"/>
      <c r="H181" s="71"/>
    </row>
    <row r="182" spans="1:13" ht="12.75" customHeight="1">
      <c r="A182" s="35"/>
      <c r="B182" s="27"/>
      <c r="C182" s="26"/>
      <c r="D182" s="21"/>
      <c r="E182" s="170" t="s">
        <v>454</v>
      </c>
      <c r="F182" s="168">
        <f>SUM(F178:F181)</f>
        <v>126.4</v>
      </c>
      <c r="G182" s="41"/>
      <c r="H182" s="71"/>
      <c r="M182" s="15"/>
    </row>
    <row r="183" spans="1:13" ht="15">
      <c r="A183" s="44"/>
      <c r="B183" s="45" t="s">
        <v>39</v>
      </c>
      <c r="C183" s="63"/>
      <c r="D183" s="46"/>
      <c r="E183" s="180" t="s">
        <v>132</v>
      </c>
      <c r="F183" s="167"/>
      <c r="G183" s="47"/>
      <c r="H183" s="106"/>
    </row>
    <row r="184" spans="1:13" s="141" customFormat="1" ht="25.5">
      <c r="A184" s="142">
        <f>MAX(A$2:A183)+1</f>
        <v>25</v>
      </c>
      <c r="B184" s="73" t="s">
        <v>39</v>
      </c>
      <c r="C184" s="11" t="s">
        <v>53</v>
      </c>
      <c r="D184" s="28"/>
      <c r="E184" s="171" t="s">
        <v>54</v>
      </c>
      <c r="F184" s="172"/>
      <c r="G184" s="29" t="s">
        <v>12</v>
      </c>
      <c r="H184" s="70">
        <f>H185</f>
        <v>8220.9</v>
      </c>
    </row>
    <row r="185" spans="1:13" s="141" customFormat="1">
      <c r="A185" s="151"/>
      <c r="B185" s="175"/>
      <c r="C185" s="14"/>
      <c r="D185" s="30" t="s">
        <v>53</v>
      </c>
      <c r="E185" s="176" t="s">
        <v>54</v>
      </c>
      <c r="F185" s="177"/>
      <c r="G185" s="31" t="s">
        <v>12</v>
      </c>
      <c r="H185" s="71">
        <f>ROUND(F186,2)</f>
        <v>8220.9</v>
      </c>
    </row>
    <row r="186" spans="1:13">
      <c r="A186" s="17"/>
      <c r="B186" s="181"/>
      <c r="C186" s="26"/>
      <c r="D186" s="21"/>
      <c r="E186" s="8" t="s">
        <v>232</v>
      </c>
      <c r="F186" s="168">
        <f>613.5*13.4</f>
        <v>8220.9</v>
      </c>
      <c r="G186" s="43"/>
      <c r="H186" s="70"/>
    </row>
    <row r="187" spans="1:13" s="141" customFormat="1" ht="14.25">
      <c r="A187" s="142">
        <f>MAX(A$2:A186)+1</f>
        <v>26</v>
      </c>
      <c r="B187" s="73" t="s">
        <v>39</v>
      </c>
      <c r="C187" s="11" t="s">
        <v>88</v>
      </c>
      <c r="D187" s="28"/>
      <c r="E187" s="171" t="s">
        <v>89</v>
      </c>
      <c r="F187" s="172"/>
      <c r="G187" s="29" t="s">
        <v>12</v>
      </c>
      <c r="H187" s="70">
        <f>H188</f>
        <v>547.20000000000005</v>
      </c>
    </row>
    <row r="188" spans="1:13" s="141" customFormat="1">
      <c r="A188" s="151"/>
      <c r="B188" s="175"/>
      <c r="C188" s="14"/>
      <c r="D188" s="30" t="s">
        <v>90</v>
      </c>
      <c r="E188" s="176" t="s">
        <v>91</v>
      </c>
      <c r="F188" s="177"/>
      <c r="G188" s="31" t="s">
        <v>12</v>
      </c>
      <c r="H188" s="71">
        <f>ROUND(F189,2)</f>
        <v>547.20000000000005</v>
      </c>
    </row>
    <row r="189" spans="1:13" ht="12.75" customHeight="1">
      <c r="A189" s="17"/>
      <c r="B189" s="181"/>
      <c r="C189" s="26"/>
      <c r="D189" s="21"/>
      <c r="E189" s="8" t="s">
        <v>233</v>
      </c>
      <c r="F189" s="168">
        <f>(296+160)*1.2</f>
        <v>547.19999999999993</v>
      </c>
      <c r="G189" s="43"/>
      <c r="H189" s="70"/>
    </row>
    <row r="190" spans="1:13" ht="15">
      <c r="A190" s="44"/>
      <c r="B190" s="53" t="s">
        <v>20</v>
      </c>
      <c r="C190" s="63"/>
      <c r="D190" s="46"/>
      <c r="E190" s="180" t="s">
        <v>133</v>
      </c>
      <c r="F190" s="167"/>
      <c r="G190" s="47"/>
      <c r="H190" s="106"/>
    </row>
    <row r="191" spans="1:13" s="141" customFormat="1" ht="14.25">
      <c r="A191" s="142">
        <f>MAX(A$2:A190)+1</f>
        <v>27</v>
      </c>
      <c r="B191" s="73" t="s">
        <v>20</v>
      </c>
      <c r="C191" s="11" t="s">
        <v>134</v>
      </c>
      <c r="D191" s="28"/>
      <c r="E191" s="171" t="s">
        <v>135</v>
      </c>
      <c r="F191" s="172"/>
      <c r="G191" s="29" t="s">
        <v>10</v>
      </c>
      <c r="H191" s="70">
        <f>H192</f>
        <v>390</v>
      </c>
    </row>
    <row r="192" spans="1:13" s="141" customFormat="1">
      <c r="A192" s="151"/>
      <c r="B192" s="175"/>
      <c r="C192" s="14"/>
      <c r="D192" s="30" t="s">
        <v>136</v>
      </c>
      <c r="E192" s="176" t="s">
        <v>137</v>
      </c>
      <c r="F192" s="177"/>
      <c r="G192" s="31" t="s">
        <v>10</v>
      </c>
      <c r="H192" s="71">
        <f>ROUND(F195,2)</f>
        <v>390</v>
      </c>
    </row>
    <row r="193" spans="1:8" ht="15">
      <c r="A193" s="17"/>
      <c r="B193" s="182"/>
      <c r="C193" s="26"/>
      <c r="D193" s="57"/>
      <c r="E193" s="8" t="s">
        <v>234</v>
      </c>
      <c r="F193" s="168">
        <f>8*13*2</f>
        <v>208</v>
      </c>
      <c r="G193" s="41"/>
      <c r="H193" s="71"/>
    </row>
    <row r="194" spans="1:8" ht="12.75" customHeight="1">
      <c r="A194" s="17"/>
      <c r="B194" s="182"/>
      <c r="C194" s="26"/>
      <c r="D194" s="21"/>
      <c r="E194" s="8" t="s">
        <v>254</v>
      </c>
      <c r="F194" s="179">
        <f>2*7*13</f>
        <v>182</v>
      </c>
      <c r="G194" s="41"/>
      <c r="H194" s="71"/>
    </row>
    <row r="195" spans="1:8" ht="15">
      <c r="A195" s="17"/>
      <c r="B195" s="182"/>
      <c r="C195" s="26"/>
      <c r="D195" s="21"/>
      <c r="E195" s="170" t="s">
        <v>454</v>
      </c>
      <c r="F195" s="168">
        <f>SUM(F193:F194)</f>
        <v>390</v>
      </c>
      <c r="G195" s="41"/>
      <c r="H195" s="71"/>
    </row>
    <row r="196" spans="1:8" s="141" customFormat="1" ht="14.25">
      <c r="A196" s="142">
        <f>MAX(A$2:A195)+1</f>
        <v>28</v>
      </c>
      <c r="B196" s="73" t="s">
        <v>20</v>
      </c>
      <c r="C196" s="11" t="s">
        <v>235</v>
      </c>
      <c r="D196" s="28"/>
      <c r="E196" s="171" t="s">
        <v>236</v>
      </c>
      <c r="F196" s="172"/>
      <c r="G196" s="29" t="s">
        <v>10</v>
      </c>
      <c r="H196" s="70">
        <f>H197</f>
        <v>106.02</v>
      </c>
    </row>
    <row r="197" spans="1:8" s="141" customFormat="1">
      <c r="A197" s="151"/>
      <c r="B197" s="175"/>
      <c r="C197" s="14"/>
      <c r="D197" s="30" t="s">
        <v>237</v>
      </c>
      <c r="E197" s="176" t="s">
        <v>238</v>
      </c>
      <c r="F197" s="177"/>
      <c r="G197" s="31" t="s">
        <v>10</v>
      </c>
      <c r="H197" s="71">
        <f>ROUND(F201,2)</f>
        <v>106.02</v>
      </c>
    </row>
    <row r="198" spans="1:8" ht="15">
      <c r="A198" s="17"/>
      <c r="B198" s="182"/>
      <c r="C198" s="26"/>
      <c r="D198" s="21"/>
      <c r="E198" s="8" t="s">
        <v>239</v>
      </c>
      <c r="F198" s="168">
        <f>(16.2+13.15)*0.6*2</f>
        <v>35.22</v>
      </c>
      <c r="G198" s="41"/>
      <c r="H198" s="71"/>
    </row>
    <row r="199" spans="1:8" ht="15">
      <c r="A199" s="17"/>
      <c r="B199" s="182"/>
      <c r="C199" s="26"/>
      <c r="D199" s="21"/>
      <c r="E199" s="8" t="s">
        <v>240</v>
      </c>
      <c r="F199" s="168">
        <f>(5+1.25)*2*0.3*0.6*16</f>
        <v>36</v>
      </c>
      <c r="G199" s="41"/>
      <c r="H199" s="71"/>
    </row>
    <row r="200" spans="1:8" ht="15">
      <c r="A200" s="17"/>
      <c r="B200" s="182"/>
      <c r="C200" s="26"/>
      <c r="D200" s="21"/>
      <c r="E200" s="8" t="s">
        <v>694</v>
      </c>
      <c r="F200" s="169">
        <f>(15+25+10.5+7.5)*2*0.6*0.5</f>
        <v>34.799999999999997</v>
      </c>
      <c r="G200" s="41"/>
      <c r="H200" s="71"/>
    </row>
    <row r="201" spans="1:8" ht="15">
      <c r="A201" s="44"/>
      <c r="B201" s="53"/>
      <c r="C201" s="63"/>
      <c r="D201" s="46"/>
      <c r="E201" s="170" t="s">
        <v>454</v>
      </c>
      <c r="F201" s="168">
        <f>SUM(F198:F200)</f>
        <v>106.02</v>
      </c>
      <c r="G201" s="47"/>
      <c r="H201" s="106"/>
    </row>
    <row r="202" spans="1:8" s="141" customFormat="1" ht="14.25">
      <c r="A202" s="142">
        <f>MAX(A$2:A197)+1</f>
        <v>29</v>
      </c>
      <c r="B202" s="73" t="s">
        <v>20</v>
      </c>
      <c r="C202" s="11" t="s">
        <v>646</v>
      </c>
      <c r="D202" s="28"/>
      <c r="E202" s="171" t="s">
        <v>647</v>
      </c>
      <c r="F202" s="172"/>
      <c r="G202" s="29" t="s">
        <v>10</v>
      </c>
      <c r="H202" s="70">
        <f>H203</f>
        <v>19.8</v>
      </c>
    </row>
    <row r="203" spans="1:8" s="141" customFormat="1">
      <c r="A203" s="151"/>
      <c r="B203" s="175"/>
      <c r="C203" s="14"/>
      <c r="D203" s="30" t="s">
        <v>648</v>
      </c>
      <c r="E203" s="176" t="s">
        <v>649</v>
      </c>
      <c r="F203" s="177"/>
      <c r="G203" s="31" t="s">
        <v>10</v>
      </c>
      <c r="H203" s="71">
        <f>ROUND(F204,2)</f>
        <v>19.8</v>
      </c>
    </row>
    <row r="204" spans="1:8">
      <c r="A204" s="72"/>
      <c r="B204" s="27"/>
      <c r="C204" s="26"/>
      <c r="D204" s="13"/>
      <c r="E204" s="8" t="s">
        <v>699</v>
      </c>
      <c r="F204" s="168">
        <f>2.5*1.8*1.1*4</f>
        <v>19.8</v>
      </c>
      <c r="G204" s="31"/>
      <c r="H204" s="71"/>
    </row>
    <row r="205" spans="1:8" s="141" customFormat="1" ht="14.25">
      <c r="A205" s="142">
        <f>MAX(A$2:A203)+1</f>
        <v>30</v>
      </c>
      <c r="B205" s="73" t="s">
        <v>20</v>
      </c>
      <c r="C205" s="11" t="s">
        <v>138</v>
      </c>
      <c r="D205" s="28"/>
      <c r="E205" s="171" t="s">
        <v>139</v>
      </c>
      <c r="F205" s="172"/>
      <c r="G205" s="29" t="s">
        <v>10</v>
      </c>
      <c r="H205" s="70">
        <f>H206</f>
        <v>426</v>
      </c>
    </row>
    <row r="206" spans="1:8" s="141" customFormat="1">
      <c r="A206" s="151"/>
      <c r="B206" s="175"/>
      <c r="C206" s="14"/>
      <c r="D206" s="30" t="s">
        <v>140</v>
      </c>
      <c r="E206" s="176" t="s">
        <v>141</v>
      </c>
      <c r="F206" s="177"/>
      <c r="G206" s="31" t="s">
        <v>10</v>
      </c>
      <c r="H206" s="71">
        <f>ROUND(F211,2)</f>
        <v>426</v>
      </c>
    </row>
    <row r="207" spans="1:8" ht="15">
      <c r="A207" s="35"/>
      <c r="B207" s="52"/>
      <c r="C207" s="14"/>
      <c r="D207" s="13"/>
      <c r="E207" s="8" t="s">
        <v>241</v>
      </c>
      <c r="F207" s="168"/>
      <c r="G207" s="31"/>
      <c r="H207" s="71"/>
    </row>
    <row r="208" spans="1:8" ht="15">
      <c r="A208" s="35"/>
      <c r="B208" s="52"/>
      <c r="C208" s="14"/>
      <c r="D208" s="13"/>
      <c r="E208" s="8" t="s">
        <v>604</v>
      </c>
      <c r="F208" s="168">
        <f>8*13*2</f>
        <v>208</v>
      </c>
      <c r="G208" s="31"/>
      <c r="H208" s="71"/>
    </row>
    <row r="209" spans="1:8" ht="25.5">
      <c r="A209" s="35"/>
      <c r="B209" s="52"/>
      <c r="C209" s="14"/>
      <c r="D209" s="13"/>
      <c r="E209" s="8" t="s">
        <v>605</v>
      </c>
      <c r="F209" s="168">
        <f>2*7*13</f>
        <v>182</v>
      </c>
      <c r="G209" s="31"/>
      <c r="H209" s="71"/>
    </row>
    <row r="210" spans="1:8" ht="25.5">
      <c r="A210" s="35"/>
      <c r="B210" s="52"/>
      <c r="C210" s="14"/>
      <c r="D210" s="13"/>
      <c r="E210" s="8" t="s">
        <v>606</v>
      </c>
      <c r="F210" s="169">
        <f>(5+1.25)*2*0.3*0.6*16</f>
        <v>36</v>
      </c>
      <c r="G210" s="31"/>
      <c r="H210" s="71"/>
    </row>
    <row r="211" spans="1:8" ht="15">
      <c r="A211" s="35"/>
      <c r="B211" s="52"/>
      <c r="C211" s="14"/>
      <c r="D211" s="13"/>
      <c r="E211" s="170" t="s">
        <v>454</v>
      </c>
      <c r="F211" s="168">
        <f>SUM(F208:F210)</f>
        <v>426</v>
      </c>
      <c r="G211" s="31"/>
      <c r="H211" s="71"/>
    </row>
    <row r="212" spans="1:8" ht="15">
      <c r="A212" s="44"/>
      <c r="B212" s="53" t="s">
        <v>62</v>
      </c>
      <c r="C212" s="63"/>
      <c r="D212" s="46"/>
      <c r="E212" s="180" t="s">
        <v>142</v>
      </c>
      <c r="F212" s="167"/>
      <c r="G212" s="47"/>
      <c r="H212" s="106"/>
    </row>
    <row r="213" spans="1:8" s="141" customFormat="1" ht="14.25">
      <c r="A213" s="142">
        <f>MAX(A$2:A212)+1</f>
        <v>31</v>
      </c>
      <c r="B213" s="73" t="s">
        <v>62</v>
      </c>
      <c r="C213" s="11" t="s">
        <v>610</v>
      </c>
      <c r="D213" s="28"/>
      <c r="E213" s="171" t="s">
        <v>611</v>
      </c>
      <c r="F213" s="172"/>
      <c r="G213" s="29" t="s">
        <v>10</v>
      </c>
      <c r="H213" s="70">
        <f>H214</f>
        <v>36</v>
      </c>
    </row>
    <row r="214" spans="1:8" s="141" customFormat="1">
      <c r="A214" s="151"/>
      <c r="B214" s="175"/>
      <c r="C214" s="14"/>
      <c r="D214" s="30" t="s">
        <v>612</v>
      </c>
      <c r="E214" s="176" t="s">
        <v>613</v>
      </c>
      <c r="F214" s="177"/>
      <c r="G214" s="31" t="s">
        <v>10</v>
      </c>
      <c r="H214" s="71">
        <f>ROUND(F215,2)</f>
        <v>36</v>
      </c>
    </row>
    <row r="215" spans="1:8" ht="12.75" customHeight="1">
      <c r="A215" s="35"/>
      <c r="B215" s="27"/>
      <c r="C215" s="14"/>
      <c r="D215" s="30"/>
      <c r="E215" s="8" t="s">
        <v>614</v>
      </c>
      <c r="F215" s="168">
        <f>F210</f>
        <v>36</v>
      </c>
      <c r="G215" s="31"/>
      <c r="H215" s="70"/>
    </row>
    <row r="216" spans="1:8" s="141" customFormat="1" ht="14.25">
      <c r="A216" s="142">
        <f>MAX(A$2:A215)+1</f>
        <v>32</v>
      </c>
      <c r="B216" s="73" t="s">
        <v>62</v>
      </c>
      <c r="C216" s="11" t="s">
        <v>615</v>
      </c>
      <c r="D216" s="28"/>
      <c r="E216" s="171" t="s">
        <v>616</v>
      </c>
      <c r="F216" s="172"/>
      <c r="G216" s="29" t="s">
        <v>10</v>
      </c>
      <c r="H216" s="70">
        <f>H217</f>
        <v>72</v>
      </c>
    </row>
    <row r="217" spans="1:8" s="141" customFormat="1" ht="25.5">
      <c r="A217" s="151"/>
      <c r="B217" s="175"/>
      <c r="C217" s="14"/>
      <c r="D217" s="30" t="s">
        <v>617</v>
      </c>
      <c r="E217" s="176" t="s">
        <v>618</v>
      </c>
      <c r="F217" s="177"/>
      <c r="G217" s="31" t="s">
        <v>10</v>
      </c>
      <c r="H217" s="71">
        <f>ROUND(F218,2)</f>
        <v>72</v>
      </c>
    </row>
    <row r="218" spans="1:8" ht="12.75" customHeight="1">
      <c r="A218" s="35"/>
      <c r="B218" s="27"/>
      <c r="C218" s="14"/>
      <c r="D218" s="13"/>
      <c r="E218" s="8" t="s">
        <v>619</v>
      </c>
      <c r="F218" s="168">
        <f>F215*2</f>
        <v>72</v>
      </c>
      <c r="G218" s="31"/>
      <c r="H218" s="70"/>
    </row>
    <row r="219" spans="1:8" s="141" customFormat="1" ht="14.25">
      <c r="A219" s="142">
        <f>MAX(A$2:A218)+1</f>
        <v>33</v>
      </c>
      <c r="B219" s="73" t="s">
        <v>62</v>
      </c>
      <c r="C219" s="11" t="s">
        <v>19</v>
      </c>
      <c r="D219" s="28"/>
      <c r="E219" s="171" t="s">
        <v>68</v>
      </c>
      <c r="F219" s="172"/>
      <c r="G219" s="29" t="s">
        <v>10</v>
      </c>
      <c r="H219" s="70">
        <f>H220</f>
        <v>479.82</v>
      </c>
    </row>
    <row r="220" spans="1:8" s="141" customFormat="1" ht="25.5">
      <c r="A220" s="151"/>
      <c r="B220" s="175"/>
      <c r="C220" s="14"/>
      <c r="D220" s="30" t="s">
        <v>608</v>
      </c>
      <c r="E220" s="176" t="s">
        <v>609</v>
      </c>
      <c r="F220" s="177"/>
      <c r="G220" s="31" t="s">
        <v>10</v>
      </c>
      <c r="H220" s="71">
        <f>ROUND(F226,2)</f>
        <v>479.82</v>
      </c>
    </row>
    <row r="221" spans="1:8" ht="12.75" customHeight="1">
      <c r="A221" s="35"/>
      <c r="B221" s="27"/>
      <c r="C221" s="14"/>
      <c r="D221" s="30"/>
      <c r="E221" s="8" t="s">
        <v>579</v>
      </c>
      <c r="F221" s="168"/>
      <c r="G221" s="31"/>
      <c r="H221" s="70"/>
    </row>
    <row r="222" spans="1:8" ht="12.75" customHeight="1">
      <c r="A222" s="35"/>
      <c r="B222" s="27"/>
      <c r="C222" s="14"/>
      <c r="D222" s="30"/>
      <c r="E222" s="8" t="s">
        <v>580</v>
      </c>
      <c r="F222" s="168">
        <f>F195</f>
        <v>390</v>
      </c>
      <c r="G222" s="31"/>
      <c r="H222" s="70"/>
    </row>
    <row r="223" spans="1:8" ht="12.75" customHeight="1">
      <c r="A223" s="35"/>
      <c r="B223" s="27"/>
      <c r="C223" s="14"/>
      <c r="D223" s="30"/>
      <c r="E223" s="8" t="s">
        <v>581</v>
      </c>
      <c r="F223" s="168">
        <f>F201</f>
        <v>106.02</v>
      </c>
      <c r="G223" s="31"/>
      <c r="H223" s="70"/>
    </row>
    <row r="224" spans="1:8" ht="12.75" customHeight="1">
      <c r="A224" s="35"/>
      <c r="B224" s="27"/>
      <c r="C224" s="14"/>
      <c r="D224" s="30"/>
      <c r="E224" s="8" t="s">
        <v>650</v>
      </c>
      <c r="F224" s="168">
        <f>F204</f>
        <v>19.8</v>
      </c>
      <c r="G224" s="31"/>
      <c r="H224" s="70"/>
    </row>
    <row r="225" spans="1:8" ht="12.75" customHeight="1">
      <c r="A225" s="35"/>
      <c r="B225" s="27"/>
      <c r="C225" s="14"/>
      <c r="D225" s="30"/>
      <c r="E225" s="8" t="s">
        <v>607</v>
      </c>
      <c r="F225" s="169">
        <f>-F210</f>
        <v>-36</v>
      </c>
      <c r="G225" s="31"/>
      <c r="H225" s="70"/>
    </row>
    <row r="226" spans="1:8" ht="12.75" customHeight="1">
      <c r="A226" s="35"/>
      <c r="B226" s="27"/>
      <c r="C226" s="14"/>
      <c r="D226" s="30"/>
      <c r="E226" s="8"/>
      <c r="F226" s="168">
        <f>SUM(F222:F225)</f>
        <v>479.81999999999994</v>
      </c>
      <c r="G226" s="31"/>
      <c r="H226" s="70"/>
    </row>
    <row r="227" spans="1:8" s="141" customFormat="1" ht="12.75" customHeight="1">
      <c r="A227" s="72">
        <f>MAX(A$2:A226)+1</f>
        <v>34</v>
      </c>
      <c r="B227" s="33" t="s">
        <v>62</v>
      </c>
      <c r="C227" s="11" t="s">
        <v>143</v>
      </c>
      <c r="D227" s="28"/>
      <c r="E227" s="171" t="s">
        <v>144</v>
      </c>
      <c r="F227" s="172"/>
      <c r="G227" s="29" t="s">
        <v>10</v>
      </c>
      <c r="H227" s="70">
        <f>H228</f>
        <v>36</v>
      </c>
    </row>
    <row r="228" spans="1:8" s="141" customFormat="1" ht="25.5">
      <c r="A228" s="72"/>
      <c r="B228" s="74"/>
      <c r="C228" s="14"/>
      <c r="D228" s="30" t="s">
        <v>145</v>
      </c>
      <c r="E228" s="176" t="s">
        <v>146</v>
      </c>
      <c r="F228" s="177"/>
      <c r="G228" s="31" t="s">
        <v>10</v>
      </c>
      <c r="H228" s="71">
        <f>ROUND(F229,2)</f>
        <v>36</v>
      </c>
    </row>
    <row r="229" spans="1:8" ht="12.75" customHeight="1">
      <c r="A229" s="35"/>
      <c r="B229" s="27"/>
      <c r="C229" s="14"/>
      <c r="D229" s="30"/>
      <c r="E229" s="8" t="s">
        <v>620</v>
      </c>
      <c r="F229" s="168">
        <f>F215</f>
        <v>36</v>
      </c>
      <c r="G229" s="31"/>
      <c r="H229" s="70"/>
    </row>
    <row r="230" spans="1:8" ht="15">
      <c r="A230" s="44"/>
      <c r="B230" s="45" t="s">
        <v>58</v>
      </c>
      <c r="C230" s="63"/>
      <c r="D230" s="46"/>
      <c r="E230" s="180" t="s">
        <v>63</v>
      </c>
      <c r="F230" s="167"/>
      <c r="G230" s="47"/>
      <c r="H230" s="106"/>
    </row>
    <row r="231" spans="1:8" s="141" customFormat="1" ht="25.5">
      <c r="A231" s="72">
        <f>MAX(A$2:A230)+1</f>
        <v>35</v>
      </c>
      <c r="B231" s="33" t="s">
        <v>58</v>
      </c>
      <c r="C231" s="11" t="s">
        <v>284</v>
      </c>
      <c r="D231" s="28"/>
      <c r="E231" s="171" t="s">
        <v>285</v>
      </c>
      <c r="F231" s="172"/>
      <c r="G231" s="29" t="s">
        <v>10</v>
      </c>
      <c r="H231" s="70">
        <f>H232</f>
        <v>223.89</v>
      </c>
    </row>
    <row r="232" spans="1:8" s="141" customFormat="1" ht="25.5">
      <c r="A232" s="72"/>
      <c r="B232" s="74"/>
      <c r="C232" s="14"/>
      <c r="D232" s="30" t="s">
        <v>286</v>
      </c>
      <c r="E232" s="176" t="s">
        <v>287</v>
      </c>
      <c r="F232" s="177"/>
      <c r="G232" s="31" t="s">
        <v>10</v>
      </c>
      <c r="H232" s="71">
        <f>ROUND(F235,2)</f>
        <v>223.89</v>
      </c>
    </row>
    <row r="233" spans="1:8" ht="38.25">
      <c r="A233" s="35"/>
      <c r="B233" s="52"/>
      <c r="C233" s="14"/>
      <c r="D233" s="13"/>
      <c r="E233" s="8" t="s">
        <v>288</v>
      </c>
      <c r="F233" s="168">
        <f>0.172*(35.19+69.48+69.48+69.48+69.48+70.06+77.63+36.34+78.48+35.17+2*3)</f>
        <v>106.08787999999998</v>
      </c>
      <c r="G233" s="31"/>
      <c r="H233" s="71"/>
    </row>
    <row r="234" spans="1:8" ht="38.25">
      <c r="A234" s="35"/>
      <c r="B234" s="52"/>
      <c r="C234" s="14"/>
      <c r="D234" s="13"/>
      <c r="E234" s="8" t="s">
        <v>289</v>
      </c>
      <c r="F234" s="169">
        <f>0.191*(35.19+69.48+69.48+69.48+69.48+70.06+77.63+36.34+78.48+35.17+2*3)</f>
        <v>117.80689</v>
      </c>
      <c r="G234" s="31"/>
      <c r="H234" s="71"/>
    </row>
    <row r="235" spans="1:8" ht="15">
      <c r="A235" s="44"/>
      <c r="B235" s="45"/>
      <c r="C235" s="63"/>
      <c r="D235" s="46"/>
      <c r="E235" s="170" t="s">
        <v>454</v>
      </c>
      <c r="F235" s="168">
        <f>SUM(F233:F234)</f>
        <v>223.89476999999999</v>
      </c>
      <c r="G235" s="47"/>
      <c r="H235" s="106"/>
    </row>
    <row r="236" spans="1:8" s="141" customFormat="1" ht="25.5">
      <c r="A236" s="72">
        <f>MAX(A$2:A235)+1</f>
        <v>36</v>
      </c>
      <c r="B236" s="33" t="s">
        <v>58</v>
      </c>
      <c r="C236" s="11" t="s">
        <v>290</v>
      </c>
      <c r="D236" s="28"/>
      <c r="E236" s="171" t="s">
        <v>291</v>
      </c>
      <c r="F236" s="172"/>
      <c r="G236" s="29" t="s">
        <v>12</v>
      </c>
      <c r="H236" s="70">
        <f>H237</f>
        <v>337.08</v>
      </c>
    </row>
    <row r="237" spans="1:8" s="141" customFormat="1" ht="25.5">
      <c r="A237" s="72"/>
      <c r="B237" s="74"/>
      <c r="C237" s="14"/>
      <c r="D237" s="30" t="s">
        <v>292</v>
      </c>
      <c r="E237" s="176" t="s">
        <v>293</v>
      </c>
      <c r="F237" s="177"/>
      <c r="G237" s="31" t="s">
        <v>12</v>
      </c>
      <c r="H237" s="71">
        <f>ROUND(F240,2)</f>
        <v>337.08</v>
      </c>
    </row>
    <row r="238" spans="1:8" ht="38.25">
      <c r="A238" s="35"/>
      <c r="B238" s="52"/>
      <c r="C238" s="14"/>
      <c r="D238" s="13"/>
      <c r="E238" s="8" t="s">
        <v>294</v>
      </c>
      <c r="F238" s="168">
        <f>0.245*(35.19+69.48+69.48+69.48+69.48+70.06+77.63+36.34+78.48+35.17+2*3)+0.172*96</f>
        <v>167.62554999999998</v>
      </c>
      <c r="G238" s="31"/>
      <c r="H238" s="71"/>
    </row>
    <row r="239" spans="1:8" ht="38.25">
      <c r="A239" s="35"/>
      <c r="B239" s="52"/>
      <c r="C239" s="14"/>
      <c r="D239" s="13"/>
      <c r="E239" s="8" t="s">
        <v>295</v>
      </c>
      <c r="F239" s="169">
        <f>0.245*(35.19+69.48+69.48+69.48+69.48+70.06+77.63+36.34+78.48+35.17+2*3)+0.191*96</f>
        <v>169.44954999999999</v>
      </c>
      <c r="G239" s="31"/>
      <c r="H239" s="71"/>
    </row>
    <row r="240" spans="1:8" ht="15">
      <c r="A240" s="35"/>
      <c r="B240" s="65"/>
      <c r="C240" s="14"/>
      <c r="D240" s="13"/>
      <c r="E240" s="170" t="s">
        <v>454</v>
      </c>
      <c r="F240" s="168">
        <f>SUM(F238:F239)</f>
        <v>337.07509999999996</v>
      </c>
      <c r="G240" s="31"/>
      <c r="H240" s="71"/>
    </row>
    <row r="241" spans="1:8" s="141" customFormat="1" ht="25.5">
      <c r="A241" s="72">
        <f>MAX(A$2:A240)+1</f>
        <v>37</v>
      </c>
      <c r="B241" s="33" t="s">
        <v>58</v>
      </c>
      <c r="C241" s="11" t="s">
        <v>296</v>
      </c>
      <c r="D241" s="28"/>
      <c r="E241" s="171" t="s">
        <v>297</v>
      </c>
      <c r="F241" s="172"/>
      <c r="G241" s="29" t="s">
        <v>12</v>
      </c>
      <c r="H241" s="70">
        <f>H242</f>
        <v>277.56</v>
      </c>
    </row>
    <row r="242" spans="1:8" s="141" customFormat="1" ht="25.5">
      <c r="A242" s="72"/>
      <c r="B242" s="74"/>
      <c r="C242" s="14"/>
      <c r="D242" s="30" t="s">
        <v>307</v>
      </c>
      <c r="E242" s="176" t="s">
        <v>308</v>
      </c>
      <c r="F242" s="177"/>
      <c r="G242" s="31" t="s">
        <v>12</v>
      </c>
      <c r="H242" s="71">
        <f>ROUND(F245,2)</f>
        <v>277.56</v>
      </c>
    </row>
    <row r="243" spans="1:8" ht="38.25">
      <c r="A243" s="35"/>
      <c r="B243" s="65"/>
      <c r="C243" s="14"/>
      <c r="D243" s="30"/>
      <c r="E243" s="8" t="s">
        <v>298</v>
      </c>
      <c r="F243" s="168">
        <f>0.225*(35.19+69.48+69.48+69.48+69.48+70.06+77.63+36.34+78.48+35.17+2*3)</f>
        <v>138.77775</v>
      </c>
      <c r="G243" s="31"/>
      <c r="H243" s="71"/>
    </row>
    <row r="244" spans="1:8" ht="38.25">
      <c r="A244" s="35"/>
      <c r="B244" s="65"/>
      <c r="C244" s="14"/>
      <c r="D244" s="30"/>
      <c r="E244" s="8" t="s">
        <v>299</v>
      </c>
      <c r="F244" s="169">
        <f>0.225*(35.19+69.48+69.48+69.48+69.48+70.06+77.63+36.34+78.48+35.17+2*3)</f>
        <v>138.77775</v>
      </c>
      <c r="G244" s="31"/>
      <c r="H244" s="71"/>
    </row>
    <row r="245" spans="1:8" ht="15">
      <c r="A245" s="35"/>
      <c r="B245" s="65"/>
      <c r="C245" s="14"/>
      <c r="D245" s="30"/>
      <c r="E245" s="170" t="s">
        <v>454</v>
      </c>
      <c r="F245" s="168">
        <f>SUM(F243:F244)</f>
        <v>277.55549999999999</v>
      </c>
      <c r="G245" s="31"/>
      <c r="H245" s="71"/>
    </row>
    <row r="246" spans="1:8" s="141" customFormat="1" ht="25.5">
      <c r="A246" s="72">
        <f>MAX(A$2:A245)+1</f>
        <v>38</v>
      </c>
      <c r="B246" s="33" t="s">
        <v>58</v>
      </c>
      <c r="C246" s="11" t="s">
        <v>300</v>
      </c>
      <c r="D246" s="28"/>
      <c r="E246" s="171" t="s">
        <v>301</v>
      </c>
      <c r="F246" s="172"/>
      <c r="G246" s="29" t="s">
        <v>16</v>
      </c>
      <c r="H246" s="70">
        <f>H247</f>
        <v>39.909999999999997</v>
      </c>
    </row>
    <row r="247" spans="1:8" s="141" customFormat="1" ht="25.5">
      <c r="A247" s="72"/>
      <c r="B247" s="74"/>
      <c r="C247" s="14"/>
      <c r="D247" s="30" t="s">
        <v>302</v>
      </c>
      <c r="E247" s="176" t="s">
        <v>303</v>
      </c>
      <c r="F247" s="177"/>
      <c r="G247" s="31" t="s">
        <v>16</v>
      </c>
      <c r="H247" s="71">
        <v>39.909999999999997</v>
      </c>
    </row>
    <row r="248" spans="1:8" s="141" customFormat="1" ht="25.5">
      <c r="A248" s="72">
        <f>MAX(A$2:A247)+1</f>
        <v>39</v>
      </c>
      <c r="B248" s="33" t="s">
        <v>58</v>
      </c>
      <c r="C248" s="11" t="s">
        <v>266</v>
      </c>
      <c r="D248" s="28"/>
      <c r="E248" s="171" t="s">
        <v>267</v>
      </c>
      <c r="F248" s="172"/>
      <c r="G248" s="29" t="s">
        <v>10</v>
      </c>
      <c r="H248" s="70">
        <f>H249+H251</f>
        <v>79.36</v>
      </c>
    </row>
    <row r="249" spans="1:8" s="141" customFormat="1" ht="25.5">
      <c r="A249" s="72"/>
      <c r="B249" s="74"/>
      <c r="C249" s="14"/>
      <c r="D249" s="30" t="s">
        <v>268</v>
      </c>
      <c r="E249" s="176" t="s">
        <v>269</v>
      </c>
      <c r="F249" s="177"/>
      <c r="G249" s="31" t="s">
        <v>10</v>
      </c>
      <c r="H249" s="71">
        <f>ROUND(F250,2)</f>
        <v>24.95</v>
      </c>
    </row>
    <row r="250" spans="1:8" ht="15">
      <c r="A250" s="35"/>
      <c r="B250" s="52"/>
      <c r="C250" s="14"/>
      <c r="D250" s="13"/>
      <c r="E250" s="8" t="s">
        <v>270</v>
      </c>
      <c r="F250" s="168">
        <f>2*(11.55*7.2*0.15)</f>
        <v>24.948000000000004</v>
      </c>
      <c r="G250" s="31"/>
      <c r="H250" s="71"/>
    </row>
    <row r="251" spans="1:8" s="141" customFormat="1" ht="25.5">
      <c r="A251" s="72"/>
      <c r="B251" s="74"/>
      <c r="C251" s="14"/>
      <c r="D251" s="30" t="s">
        <v>271</v>
      </c>
      <c r="E251" s="176" t="s">
        <v>272</v>
      </c>
      <c r="F251" s="177"/>
      <c r="G251" s="31" t="s">
        <v>10</v>
      </c>
      <c r="H251" s="71">
        <f>ROUND(F252,2)</f>
        <v>54.41</v>
      </c>
    </row>
    <row r="252" spans="1:8" ht="15">
      <c r="A252" s="35"/>
      <c r="B252" s="52"/>
      <c r="C252" s="14"/>
      <c r="D252" s="13"/>
      <c r="E252" s="8" t="s">
        <v>273</v>
      </c>
      <c r="F252" s="168">
        <f>2*(11.15*7*0.32+0.2*11.15)</f>
        <v>54.411999999999999</v>
      </c>
      <c r="G252" s="31"/>
      <c r="H252" s="71"/>
    </row>
    <row r="253" spans="1:8" s="141" customFormat="1" ht="25.5">
      <c r="A253" s="72">
        <f>MAX(A$2:A252)+1</f>
        <v>40</v>
      </c>
      <c r="B253" s="33" t="s">
        <v>58</v>
      </c>
      <c r="C253" s="11" t="s">
        <v>274</v>
      </c>
      <c r="D253" s="28"/>
      <c r="E253" s="171" t="s">
        <v>275</v>
      </c>
      <c r="F253" s="172"/>
      <c r="G253" s="29" t="s">
        <v>12</v>
      </c>
      <c r="H253" s="70">
        <f>H254</f>
        <v>45.31</v>
      </c>
    </row>
    <row r="254" spans="1:8" s="141" customFormat="1" ht="25.5">
      <c r="A254" s="72"/>
      <c r="B254" s="74"/>
      <c r="C254" s="14"/>
      <c r="D254" s="30" t="s">
        <v>276</v>
      </c>
      <c r="E254" s="176" t="s">
        <v>277</v>
      </c>
      <c r="F254" s="177"/>
      <c r="G254" s="31" t="s">
        <v>12</v>
      </c>
      <c r="H254" s="71">
        <f>ROUND(F257,2)</f>
        <v>45.31</v>
      </c>
    </row>
    <row r="255" spans="1:8" ht="15">
      <c r="A255" s="35"/>
      <c r="B255" s="65"/>
      <c r="C255" s="14"/>
      <c r="D255" s="13"/>
      <c r="E255" s="8" t="s">
        <v>278</v>
      </c>
      <c r="F255" s="168">
        <f>(11.55+7.2*2)*0.15*2</f>
        <v>7.7850000000000001</v>
      </c>
      <c r="G255" s="31"/>
      <c r="H255" s="71"/>
    </row>
    <row r="256" spans="1:8" ht="12.75" customHeight="1">
      <c r="A256" s="35"/>
      <c r="B256" s="65"/>
      <c r="C256" s="14"/>
      <c r="D256" s="13"/>
      <c r="E256" s="8" t="s">
        <v>279</v>
      </c>
      <c r="F256" s="169">
        <f>(((2*0.2)+0.925*11.15)+(2*7+11.15)*0.32)*2</f>
        <v>37.523499999999999</v>
      </c>
      <c r="G256" s="31"/>
      <c r="H256" s="71"/>
    </row>
    <row r="257" spans="1:9" ht="15">
      <c r="A257" s="44"/>
      <c r="B257" s="45"/>
      <c r="C257" s="63"/>
      <c r="D257" s="32"/>
      <c r="E257" s="170" t="s">
        <v>454</v>
      </c>
      <c r="F257" s="168">
        <f>SUM(F255:F256)</f>
        <v>45.308499999999995</v>
      </c>
      <c r="G257" s="31"/>
      <c r="H257" s="106"/>
    </row>
    <row r="258" spans="1:9" s="141" customFormat="1" ht="25.5">
      <c r="A258" s="238">
        <f>MAX(A$2:A257)+1</f>
        <v>41</v>
      </c>
      <c r="B258" s="264" t="s">
        <v>58</v>
      </c>
      <c r="C258" s="253" t="s">
        <v>280</v>
      </c>
      <c r="D258" s="240"/>
      <c r="E258" s="254" t="s">
        <v>281</v>
      </c>
      <c r="F258" s="255"/>
      <c r="G258" s="256" t="s">
        <v>16</v>
      </c>
      <c r="H258" s="257">
        <f>H259</f>
        <v>8.0399999999999991</v>
      </c>
      <c r="I258" s="229"/>
    </row>
    <row r="259" spans="1:9" s="141" customFormat="1" ht="25.5">
      <c r="A259" s="238"/>
      <c r="B259" s="239"/>
      <c r="C259" s="241"/>
      <c r="D259" s="260" t="s">
        <v>282</v>
      </c>
      <c r="E259" s="261" t="s">
        <v>283</v>
      </c>
      <c r="F259" s="262"/>
      <c r="G259" s="263" t="s">
        <v>16</v>
      </c>
      <c r="H259" s="117">
        <f>ROUND(F260,2)</f>
        <v>8.0399999999999991</v>
      </c>
      <c r="I259" s="229"/>
    </row>
    <row r="260" spans="1:9" ht="15">
      <c r="A260" s="265"/>
      <c r="B260" s="266"/>
      <c r="C260" s="267"/>
      <c r="D260" s="260"/>
      <c r="E260" s="245" t="s">
        <v>831</v>
      </c>
      <c r="F260" s="246">
        <f>4.02*2</f>
        <v>8.0399999999999991</v>
      </c>
      <c r="G260" s="263"/>
      <c r="H260" s="117"/>
      <c r="I260" s="228" t="s">
        <v>841</v>
      </c>
    </row>
    <row r="261" spans="1:9" s="141" customFormat="1" ht="25.5">
      <c r="A261" s="72">
        <f>MAX(A$2:A259)+1</f>
        <v>42</v>
      </c>
      <c r="B261" s="33" t="s">
        <v>58</v>
      </c>
      <c r="C261" s="11" t="s">
        <v>328</v>
      </c>
      <c r="D261" s="28"/>
      <c r="E261" s="171" t="s">
        <v>329</v>
      </c>
      <c r="F261" s="172"/>
      <c r="G261" s="29" t="s">
        <v>10</v>
      </c>
      <c r="H261" s="70">
        <f>H262</f>
        <v>770.74</v>
      </c>
    </row>
    <row r="262" spans="1:9" s="141" customFormat="1" ht="25.5">
      <c r="A262" s="72"/>
      <c r="B262" s="74"/>
      <c r="C262" s="14"/>
      <c r="D262" s="30" t="s">
        <v>330</v>
      </c>
      <c r="E262" s="176" t="s">
        <v>331</v>
      </c>
      <c r="F262" s="177"/>
      <c r="G262" s="31" t="s">
        <v>10</v>
      </c>
      <c r="H262" s="71">
        <f>ROUND(F266,2)</f>
        <v>770.74</v>
      </c>
    </row>
    <row r="263" spans="1:9" ht="38.25">
      <c r="A263" s="35"/>
      <c r="B263" s="65"/>
      <c r="C263" s="14"/>
      <c r="D263" s="128"/>
      <c r="E263" s="8" t="s">
        <v>332</v>
      </c>
      <c r="F263" s="168">
        <f>1.25*(35.19+69.48+69.48+69.48+69.48+70.06+77.63+36.34+78.48+35.17)</f>
        <v>763.48749999999995</v>
      </c>
      <c r="G263" s="31"/>
      <c r="H263" s="71"/>
    </row>
    <row r="264" spans="1:9" ht="15">
      <c r="A264" s="35"/>
      <c r="B264" s="65"/>
      <c r="C264" s="14"/>
      <c r="D264" s="128"/>
      <c r="E264" s="8" t="s">
        <v>727</v>
      </c>
      <c r="F264" s="168"/>
      <c r="G264" s="31"/>
      <c r="H264" s="71"/>
    </row>
    <row r="265" spans="1:9" ht="15">
      <c r="A265" s="35"/>
      <c r="B265" s="65"/>
      <c r="C265" s="14"/>
      <c r="D265" s="128"/>
      <c r="E265" s="8" t="s">
        <v>728</v>
      </c>
      <c r="F265" s="169">
        <f>0.153*1.33*22+2*0.14*0.15*3*22</f>
        <v>7.24878</v>
      </c>
      <c r="G265" s="31"/>
      <c r="H265" s="71"/>
    </row>
    <row r="266" spans="1:9" ht="15">
      <c r="A266" s="35"/>
      <c r="B266" s="65"/>
      <c r="C266" s="14"/>
      <c r="D266" s="128"/>
      <c r="E266" s="170" t="s">
        <v>454</v>
      </c>
      <c r="F266" s="168">
        <f>SUM(F263:F265)</f>
        <v>770.73627999999997</v>
      </c>
      <c r="G266" s="31"/>
      <c r="H266" s="71"/>
    </row>
    <row r="267" spans="1:9" s="141" customFormat="1" ht="25.5">
      <c r="A267" s="72">
        <f>MAX(A$2:A263)+1</f>
        <v>43</v>
      </c>
      <c r="B267" s="33" t="s">
        <v>58</v>
      </c>
      <c r="C267" s="11" t="s">
        <v>333</v>
      </c>
      <c r="D267" s="28"/>
      <c r="E267" s="171" t="s">
        <v>334</v>
      </c>
      <c r="F267" s="172"/>
      <c r="G267" s="29" t="s">
        <v>12</v>
      </c>
      <c r="H267" s="70">
        <f>H268</f>
        <v>158.81</v>
      </c>
    </row>
    <row r="268" spans="1:9" s="141" customFormat="1" ht="25.5">
      <c r="A268" s="72"/>
      <c r="B268" s="74"/>
      <c r="C268" s="14"/>
      <c r="D268" s="30" t="s">
        <v>335</v>
      </c>
      <c r="E268" s="176" t="s">
        <v>336</v>
      </c>
      <c r="F268" s="177"/>
      <c r="G268" s="31" t="s">
        <v>12</v>
      </c>
      <c r="H268" s="71">
        <f>ROUND(F269,2)</f>
        <v>158.81</v>
      </c>
    </row>
    <row r="269" spans="1:9" ht="38.25">
      <c r="A269" s="35"/>
      <c r="B269" s="65"/>
      <c r="C269" s="14"/>
      <c r="D269" s="13"/>
      <c r="E269" s="8" t="s">
        <v>337</v>
      </c>
      <c r="F269" s="168">
        <f>(0.15+0.11)*(35.19+69.48+69.48+69.48+69.48+70.06+77.63+36.34+78.48+35.17)</f>
        <v>158.80539999999999</v>
      </c>
      <c r="G269" s="31"/>
      <c r="H269" s="71"/>
    </row>
    <row r="270" spans="1:9" s="141" customFormat="1" ht="25.5">
      <c r="A270" s="72">
        <f>MAX(A$2:A269)+1</f>
        <v>44</v>
      </c>
      <c r="B270" s="33" t="s">
        <v>58</v>
      </c>
      <c r="C270" s="11" t="s">
        <v>338</v>
      </c>
      <c r="D270" s="28"/>
      <c r="E270" s="171" t="s">
        <v>339</v>
      </c>
      <c r="F270" s="172"/>
      <c r="G270" s="29" t="s">
        <v>16</v>
      </c>
      <c r="H270" s="70">
        <f>H271</f>
        <v>51.42</v>
      </c>
    </row>
    <row r="271" spans="1:9" s="141" customFormat="1" ht="25.5">
      <c r="A271" s="72"/>
      <c r="B271" s="74"/>
      <c r="C271" s="14"/>
      <c r="D271" s="30" t="s">
        <v>680</v>
      </c>
      <c r="E271" s="176" t="s">
        <v>681</v>
      </c>
      <c r="F271" s="177"/>
      <c r="G271" s="31" t="s">
        <v>16</v>
      </c>
      <c r="H271" s="71">
        <f>ROUND(F274,2)</f>
        <v>51.42</v>
      </c>
    </row>
    <row r="272" spans="1:9" ht="15">
      <c r="A272" s="44"/>
      <c r="B272" s="45"/>
      <c r="C272" s="63"/>
      <c r="D272" s="30"/>
      <c r="E272" s="8" t="s">
        <v>769</v>
      </c>
      <c r="F272" s="168">
        <v>50.92</v>
      </c>
      <c r="G272" s="31"/>
      <c r="H272" s="71"/>
    </row>
    <row r="273" spans="1:9" ht="15">
      <c r="A273" s="44"/>
      <c r="B273" s="45"/>
      <c r="C273" s="63"/>
      <c r="D273" s="30"/>
      <c r="E273" s="8" t="s">
        <v>729</v>
      </c>
      <c r="F273" s="169">
        <f>0.05*10</f>
        <v>0.5</v>
      </c>
      <c r="G273" s="31"/>
      <c r="H273" s="71"/>
    </row>
    <row r="274" spans="1:9" ht="15">
      <c r="A274" s="44"/>
      <c r="B274" s="45"/>
      <c r="C274" s="63"/>
      <c r="D274" s="30"/>
      <c r="E274" s="170" t="s">
        <v>454</v>
      </c>
      <c r="F274" s="168">
        <f>SUM(F272:F273)</f>
        <v>51.42</v>
      </c>
      <c r="G274" s="31"/>
      <c r="H274" s="71"/>
    </row>
    <row r="275" spans="1:9" s="141" customFormat="1" ht="24.95" customHeight="1">
      <c r="A275" s="238">
        <f>MAX(A$2:A274)+1</f>
        <v>45</v>
      </c>
      <c r="B275" s="264" t="s">
        <v>58</v>
      </c>
      <c r="C275" s="253" t="s">
        <v>833</v>
      </c>
      <c r="D275" s="240"/>
      <c r="E275" s="254" t="s">
        <v>834</v>
      </c>
      <c r="F275" s="255"/>
      <c r="G275" s="256" t="s">
        <v>10</v>
      </c>
      <c r="H275" s="257">
        <f>H276</f>
        <v>7.41</v>
      </c>
      <c r="I275" s="281" t="s">
        <v>828</v>
      </c>
    </row>
    <row r="276" spans="1:9" s="141" customFormat="1" ht="25.5">
      <c r="A276" s="238"/>
      <c r="B276" s="239"/>
      <c r="C276" s="241"/>
      <c r="D276" s="260" t="s">
        <v>835</v>
      </c>
      <c r="E276" s="261" t="s">
        <v>836</v>
      </c>
      <c r="F276" s="262"/>
      <c r="G276" s="263" t="s">
        <v>10</v>
      </c>
      <c r="H276" s="117">
        <f>ROUND(F280,2)</f>
        <v>7.41</v>
      </c>
      <c r="I276" s="229"/>
    </row>
    <row r="277" spans="1:9" ht="15">
      <c r="A277" s="265"/>
      <c r="B277" s="266"/>
      <c r="C277" s="267"/>
      <c r="D277" s="260"/>
      <c r="E277" s="245" t="s">
        <v>473</v>
      </c>
      <c r="F277" s="246">
        <f xml:space="preserve"> (0.5+3.9)*0.15</f>
        <v>0.66</v>
      </c>
      <c r="G277" s="263"/>
      <c r="H277" s="117"/>
      <c r="I277" s="228"/>
    </row>
    <row r="278" spans="1:9" s="141" customFormat="1">
      <c r="A278" s="238"/>
      <c r="B278" s="239"/>
      <c r="C278" s="241"/>
      <c r="D278" s="260"/>
      <c r="E278" s="268" t="s">
        <v>528</v>
      </c>
      <c r="F278" s="246">
        <f>0.3*16</f>
        <v>4.8</v>
      </c>
      <c r="G278" s="263"/>
      <c r="H278" s="117"/>
      <c r="I278" s="229"/>
    </row>
    <row r="279" spans="1:9" ht="15">
      <c r="A279" s="265"/>
      <c r="B279" s="266"/>
      <c r="C279" s="267"/>
      <c r="D279" s="260"/>
      <c r="E279" s="269" t="s">
        <v>474</v>
      </c>
      <c r="F279" s="247">
        <f>1.5*(10.2+7.1)*0.5*0.15</f>
        <v>1.9462499999999996</v>
      </c>
      <c r="G279" s="263"/>
      <c r="H279" s="117"/>
      <c r="I279" s="228"/>
    </row>
    <row r="280" spans="1:9" ht="15">
      <c r="A280" s="265"/>
      <c r="B280" s="266"/>
      <c r="C280" s="267"/>
      <c r="D280" s="260"/>
      <c r="E280" s="248"/>
      <c r="F280" s="246">
        <f>SUM(F277:F279)</f>
        <v>7.40625</v>
      </c>
      <c r="G280" s="263"/>
      <c r="H280" s="117"/>
    </row>
    <row r="281" spans="1:9" s="141" customFormat="1" ht="14.25">
      <c r="A281" s="238">
        <f>MAX(A$2:A280)+1</f>
        <v>46</v>
      </c>
      <c r="B281" s="264" t="s">
        <v>58</v>
      </c>
      <c r="C281" s="253" t="s">
        <v>304</v>
      </c>
      <c r="D281" s="240"/>
      <c r="E281" s="254" t="s">
        <v>305</v>
      </c>
      <c r="F281" s="255"/>
      <c r="G281" s="256" t="s">
        <v>10</v>
      </c>
      <c r="H281" s="257">
        <f>H282</f>
        <v>34.69</v>
      </c>
      <c r="I281" s="229"/>
    </row>
    <row r="282" spans="1:9" s="141" customFormat="1">
      <c r="A282" s="238"/>
      <c r="B282" s="239"/>
      <c r="C282" s="241"/>
      <c r="D282" s="260" t="s">
        <v>304</v>
      </c>
      <c r="E282" s="261" t="s">
        <v>305</v>
      </c>
      <c r="F282" s="262"/>
      <c r="G282" s="263" t="s">
        <v>10</v>
      </c>
      <c r="H282" s="117">
        <f>ROUND(F284,2)</f>
        <v>34.69</v>
      </c>
      <c r="I282" s="229"/>
    </row>
    <row r="283" spans="1:9" ht="25.5">
      <c r="A283" s="35"/>
      <c r="B283" s="65"/>
      <c r="C283" s="14"/>
      <c r="D283" s="13"/>
      <c r="E283" s="8" t="s">
        <v>306</v>
      </c>
      <c r="F283" s="168"/>
      <c r="G283" s="31"/>
      <c r="H283" s="71"/>
      <c r="I283" s="228"/>
    </row>
    <row r="284" spans="1:9" ht="15">
      <c r="A284" s="35"/>
      <c r="B284" s="65"/>
      <c r="C284" s="14"/>
      <c r="D284" s="13"/>
      <c r="E284" s="245" t="s">
        <v>830</v>
      </c>
      <c r="F284" s="246">
        <f>0.04*1*0.7*1239</f>
        <v>34.691999999999993</v>
      </c>
      <c r="G284" s="31"/>
      <c r="H284" s="71"/>
      <c r="I284" s="228"/>
    </row>
    <row r="285" spans="1:9" s="141" customFormat="1" ht="25.5">
      <c r="A285" s="72">
        <f>MAX(A$2:A284)+1</f>
        <v>47</v>
      </c>
      <c r="B285" s="33" t="s">
        <v>58</v>
      </c>
      <c r="C285" s="11" t="s">
        <v>340</v>
      </c>
      <c r="D285" s="28"/>
      <c r="E285" s="171" t="s">
        <v>341</v>
      </c>
      <c r="F285" s="172"/>
      <c r="G285" s="29" t="s">
        <v>13</v>
      </c>
      <c r="H285" s="70">
        <f>H286</f>
        <v>1246</v>
      </c>
    </row>
    <row r="286" spans="1:9" s="141" customFormat="1" ht="25.5">
      <c r="A286" s="72"/>
      <c r="B286" s="74"/>
      <c r="C286" s="14"/>
      <c r="D286" s="30" t="s">
        <v>340</v>
      </c>
      <c r="E286" s="176" t="s">
        <v>341</v>
      </c>
      <c r="F286" s="177"/>
      <c r="G286" s="31" t="s">
        <v>13</v>
      </c>
      <c r="H286" s="71">
        <f>ROUND(F290,2)</f>
        <v>1246</v>
      </c>
    </row>
    <row r="287" spans="1:9" ht="25.5">
      <c r="A287" s="35"/>
      <c r="B287" s="65"/>
      <c r="C287" s="14"/>
      <c r="D287" s="129"/>
      <c r="E287" s="8" t="s">
        <v>712</v>
      </c>
      <c r="F287" s="168"/>
      <c r="G287" s="31"/>
      <c r="H287" s="71"/>
    </row>
    <row r="288" spans="1:9" ht="15">
      <c r="A288" s="35"/>
      <c r="B288" s="65"/>
      <c r="C288" s="14"/>
      <c r="D288" s="13"/>
      <c r="E288" s="8" t="s">
        <v>160</v>
      </c>
      <c r="F288" s="168">
        <v>623</v>
      </c>
      <c r="G288" s="31"/>
      <c r="H288" s="71"/>
    </row>
    <row r="289" spans="1:11" ht="15">
      <c r="A289" s="35"/>
      <c r="B289" s="65"/>
      <c r="C289" s="14"/>
      <c r="D289" s="13"/>
      <c r="E289" s="8" t="s">
        <v>162</v>
      </c>
      <c r="F289" s="169">
        <v>623</v>
      </c>
      <c r="G289" s="31"/>
      <c r="H289" s="71"/>
    </row>
    <row r="290" spans="1:11" ht="15">
      <c r="A290" s="44"/>
      <c r="B290" s="45"/>
      <c r="C290" s="63"/>
      <c r="D290" s="32"/>
      <c r="E290" s="170" t="s">
        <v>454</v>
      </c>
      <c r="F290" s="168">
        <f>SUM(F288:F289)</f>
        <v>1246</v>
      </c>
      <c r="G290" s="31"/>
      <c r="H290" s="106"/>
    </row>
    <row r="291" spans="1:11" ht="15">
      <c r="A291" s="44"/>
      <c r="B291" s="45"/>
      <c r="C291" s="63"/>
      <c r="D291" s="32"/>
      <c r="E291" s="8" t="s">
        <v>713</v>
      </c>
      <c r="F291" s="168"/>
      <c r="G291" s="31"/>
      <c r="H291" s="106"/>
    </row>
    <row r="292" spans="1:11" s="141" customFormat="1" ht="25.5">
      <c r="A292" s="72">
        <f>MAX(A$2:A290)+1</f>
        <v>48</v>
      </c>
      <c r="B292" s="33" t="s">
        <v>58</v>
      </c>
      <c r="C292" s="11" t="s">
        <v>354</v>
      </c>
      <c r="D292" s="28"/>
      <c r="E292" s="171" t="s">
        <v>355</v>
      </c>
      <c r="F292" s="172"/>
      <c r="G292" s="29" t="s">
        <v>11</v>
      </c>
      <c r="H292" s="70">
        <f>H293</f>
        <v>44</v>
      </c>
    </row>
    <row r="293" spans="1:11" s="141" customFormat="1">
      <c r="A293" s="72"/>
      <c r="B293" s="74"/>
      <c r="C293" s="14"/>
      <c r="D293" s="30" t="s">
        <v>354</v>
      </c>
      <c r="E293" s="176" t="s">
        <v>355</v>
      </c>
      <c r="F293" s="177"/>
      <c r="G293" s="31" t="s">
        <v>11</v>
      </c>
      <c r="H293" s="71">
        <f>F294</f>
        <v>44</v>
      </c>
    </row>
    <row r="294" spans="1:11" ht="15">
      <c r="A294" s="44"/>
      <c r="B294" s="45"/>
      <c r="C294" s="63"/>
      <c r="D294" s="32"/>
      <c r="E294" s="8" t="s">
        <v>356</v>
      </c>
      <c r="F294" s="168">
        <v>44</v>
      </c>
      <c r="G294" s="31"/>
      <c r="H294" s="106"/>
    </row>
    <row r="295" spans="1:11" s="141" customFormat="1" ht="25.5">
      <c r="A295" s="72">
        <f>MAX(A$2:A294)+1</f>
        <v>49</v>
      </c>
      <c r="B295" s="33" t="s">
        <v>58</v>
      </c>
      <c r="C295" s="11" t="s">
        <v>357</v>
      </c>
      <c r="D295" s="28"/>
      <c r="E295" s="171" t="s">
        <v>358</v>
      </c>
      <c r="F295" s="172"/>
      <c r="G295" s="29" t="s">
        <v>13</v>
      </c>
      <c r="H295" s="70">
        <f>H296</f>
        <v>219.25</v>
      </c>
    </row>
    <row r="296" spans="1:11" s="141" customFormat="1" ht="25.5">
      <c r="A296" s="72"/>
      <c r="B296" s="74"/>
      <c r="C296" s="14"/>
      <c r="D296" s="30" t="s">
        <v>357</v>
      </c>
      <c r="E296" s="176" t="s">
        <v>358</v>
      </c>
      <c r="F296" s="177"/>
      <c r="G296" s="31" t="s">
        <v>13</v>
      </c>
      <c r="H296" s="71">
        <f>ROUND(F299,2)</f>
        <v>219.25</v>
      </c>
    </row>
    <row r="297" spans="1:11" ht="25.5">
      <c r="A297" s="44"/>
      <c r="B297" s="45"/>
      <c r="C297" s="26"/>
      <c r="D297" s="127"/>
      <c r="E297" s="8" t="s">
        <v>846</v>
      </c>
      <c r="F297" s="168">
        <f>2.15*59</f>
        <v>126.85</v>
      </c>
      <c r="G297" s="26"/>
      <c r="H297" s="106"/>
    </row>
    <row r="298" spans="1:11" ht="25.5">
      <c r="A298" s="44"/>
      <c r="B298" s="45"/>
      <c r="C298" s="26"/>
      <c r="D298" s="127"/>
      <c r="E298" s="8" t="s">
        <v>714</v>
      </c>
      <c r="F298" s="169">
        <f>2.1*44</f>
        <v>92.4</v>
      </c>
      <c r="G298" s="26"/>
      <c r="H298" s="106"/>
      <c r="K298" s="153"/>
    </row>
    <row r="299" spans="1:11" ht="15">
      <c r="A299" s="44"/>
      <c r="B299" s="45"/>
      <c r="C299" s="26"/>
      <c r="D299" s="127"/>
      <c r="E299" s="170" t="s">
        <v>454</v>
      </c>
      <c r="F299" s="168">
        <f>SUM(F297:F298)</f>
        <v>219.25</v>
      </c>
      <c r="G299" s="26"/>
      <c r="H299" s="106"/>
      <c r="K299" s="156"/>
    </row>
    <row r="300" spans="1:11" s="141" customFormat="1" ht="25.5">
      <c r="A300" s="72">
        <f>MAX(A$2:A298)+1</f>
        <v>50</v>
      </c>
      <c r="B300" s="33" t="s">
        <v>58</v>
      </c>
      <c r="C300" s="11" t="s">
        <v>359</v>
      </c>
      <c r="D300" s="28"/>
      <c r="E300" s="171" t="s">
        <v>360</v>
      </c>
      <c r="F300" s="172"/>
      <c r="G300" s="29" t="s">
        <v>12</v>
      </c>
      <c r="H300" s="70">
        <f>H301</f>
        <v>260.26</v>
      </c>
    </row>
    <row r="301" spans="1:11" s="141" customFormat="1" ht="25.5">
      <c r="A301" s="72"/>
      <c r="B301" s="74"/>
      <c r="C301" s="14"/>
      <c r="D301" s="30" t="s">
        <v>361</v>
      </c>
      <c r="E301" s="176" t="s">
        <v>362</v>
      </c>
      <c r="F301" s="177"/>
      <c r="G301" s="31" t="s">
        <v>12</v>
      </c>
      <c r="H301" s="71">
        <f>ROUND(F308,2)</f>
        <v>260.26</v>
      </c>
    </row>
    <row r="302" spans="1:11" ht="15">
      <c r="A302" s="44"/>
      <c r="B302" s="45"/>
      <c r="C302" s="26"/>
      <c r="D302" s="20"/>
      <c r="E302" s="8" t="s">
        <v>506</v>
      </c>
      <c r="F302" s="168"/>
      <c r="G302" s="26"/>
      <c r="H302" s="106"/>
    </row>
    <row r="303" spans="1:11" ht="15">
      <c r="A303" s="44"/>
      <c r="B303" s="45"/>
      <c r="C303" s="26"/>
      <c r="D303" s="20"/>
      <c r="E303" s="8" t="s">
        <v>571</v>
      </c>
      <c r="F303" s="168">
        <f>0.96*118</f>
        <v>113.28</v>
      </c>
      <c r="G303" s="26"/>
      <c r="H303" s="106"/>
    </row>
    <row r="304" spans="1:11" ht="15">
      <c r="A304" s="44"/>
      <c r="B304" s="45"/>
      <c r="C304" s="26"/>
      <c r="D304" s="20"/>
      <c r="E304" s="8" t="s">
        <v>572</v>
      </c>
      <c r="F304" s="169">
        <f>1.01*118</f>
        <v>119.18</v>
      </c>
      <c r="G304" s="26"/>
      <c r="H304" s="106"/>
    </row>
    <row r="305" spans="1:8" ht="15">
      <c r="A305" s="44"/>
      <c r="B305" s="45"/>
      <c r="C305" s="26"/>
      <c r="D305" s="20"/>
      <c r="E305" s="170" t="s">
        <v>215</v>
      </c>
      <c r="F305" s="168">
        <f>SUM(F303:F304)</f>
        <v>232.46</v>
      </c>
      <c r="G305" s="26"/>
      <c r="H305" s="106"/>
    </row>
    <row r="306" spans="1:8" ht="15">
      <c r="A306" s="44"/>
      <c r="B306" s="45"/>
      <c r="C306" s="26"/>
      <c r="D306" s="20"/>
      <c r="E306" s="8" t="s">
        <v>730</v>
      </c>
      <c r="F306" s="168"/>
      <c r="G306" s="26"/>
      <c r="H306" s="106"/>
    </row>
    <row r="307" spans="1:8" ht="15">
      <c r="A307" s="44"/>
      <c r="B307" s="45"/>
      <c r="C307" s="26"/>
      <c r="D307" s="20"/>
      <c r="E307" s="8" t="s">
        <v>754</v>
      </c>
      <c r="F307" s="168">
        <f>0.95*1.33*22</f>
        <v>27.797000000000001</v>
      </c>
      <c r="G307" s="26"/>
      <c r="H307" s="106"/>
    </row>
    <row r="308" spans="1:8" ht="15">
      <c r="A308" s="44"/>
      <c r="B308" s="45"/>
      <c r="C308" s="26"/>
      <c r="D308" s="20"/>
      <c r="E308" s="170" t="s">
        <v>454</v>
      </c>
      <c r="F308" s="168">
        <f>F305+F307</f>
        <v>260.25700000000001</v>
      </c>
      <c r="G308" s="26"/>
      <c r="H308" s="106"/>
    </row>
    <row r="309" spans="1:8" s="141" customFormat="1" ht="25.5">
      <c r="A309" s="72">
        <f>MAX(A$2:A307)+1</f>
        <v>51</v>
      </c>
      <c r="B309" s="33" t="s">
        <v>58</v>
      </c>
      <c r="C309" s="11" t="s">
        <v>126</v>
      </c>
      <c r="D309" s="28"/>
      <c r="E309" s="171" t="s">
        <v>127</v>
      </c>
      <c r="F309" s="172"/>
      <c r="G309" s="29" t="s">
        <v>13</v>
      </c>
      <c r="H309" s="70">
        <f>H310+H320</f>
        <v>1499.41</v>
      </c>
    </row>
    <row r="310" spans="1:8" s="141" customFormat="1" ht="25.5">
      <c r="A310" s="72"/>
      <c r="B310" s="74"/>
      <c r="C310" s="14"/>
      <c r="D310" s="30" t="s">
        <v>128</v>
      </c>
      <c r="E310" s="176" t="s">
        <v>129</v>
      </c>
      <c r="F310" s="177"/>
      <c r="G310" s="31" t="s">
        <v>13</v>
      </c>
      <c r="H310" s="71">
        <f>ROUND(F319,2)</f>
        <v>1479.5</v>
      </c>
    </row>
    <row r="311" spans="1:8">
      <c r="A311" s="17"/>
      <c r="B311" s="27"/>
      <c r="C311" s="14"/>
      <c r="D311" s="13"/>
      <c r="E311" s="8" t="s">
        <v>504</v>
      </c>
      <c r="F311" s="168"/>
      <c r="G311" s="31"/>
      <c r="H311" s="70"/>
    </row>
    <row r="312" spans="1:8">
      <c r="A312" s="35"/>
      <c r="B312" s="27"/>
      <c r="C312" s="14"/>
      <c r="D312" s="13"/>
      <c r="E312" s="8" t="s">
        <v>502</v>
      </c>
      <c r="F312" s="168">
        <f xml:space="preserve"> 616+3*2</f>
        <v>622</v>
      </c>
      <c r="G312" s="31"/>
      <c r="H312" s="70"/>
    </row>
    <row r="313" spans="1:8">
      <c r="A313" s="35"/>
      <c r="B313" s="27"/>
      <c r="C313" s="14"/>
      <c r="D313" s="13"/>
      <c r="E313" s="8" t="s">
        <v>503</v>
      </c>
      <c r="F313" s="169">
        <f>615.5+3*2</f>
        <v>621.5</v>
      </c>
      <c r="G313" s="31"/>
      <c r="H313" s="70"/>
    </row>
    <row r="314" spans="1:8">
      <c r="A314" s="35"/>
      <c r="B314" s="27"/>
      <c r="C314" s="14"/>
      <c r="D314" s="13"/>
      <c r="E314" s="170" t="s">
        <v>215</v>
      </c>
      <c r="F314" s="168">
        <f>SUM(F312:F313)</f>
        <v>1243.5</v>
      </c>
      <c r="G314" s="31"/>
      <c r="H314" s="70"/>
    </row>
    <row r="315" spans="1:8">
      <c r="A315" s="17"/>
      <c r="B315" s="27"/>
      <c r="C315" s="14"/>
      <c r="D315" s="13"/>
      <c r="E315" s="8" t="s">
        <v>505</v>
      </c>
      <c r="F315" s="168"/>
      <c r="G315" s="31"/>
      <c r="H315" s="70"/>
    </row>
    <row r="316" spans="1:8">
      <c r="A316" s="17"/>
      <c r="B316" s="27"/>
      <c r="C316" s="14"/>
      <c r="D316" s="13"/>
      <c r="E316" s="8" t="s">
        <v>571</v>
      </c>
      <c r="F316" s="168">
        <f>0.96*118</f>
        <v>113.28</v>
      </c>
      <c r="G316" s="31"/>
      <c r="H316" s="70"/>
    </row>
    <row r="317" spans="1:8">
      <c r="A317" s="17"/>
      <c r="B317" s="27"/>
      <c r="C317" s="14"/>
      <c r="D317" s="13"/>
      <c r="E317" s="8" t="s">
        <v>573</v>
      </c>
      <c r="F317" s="169">
        <f>1.04*118</f>
        <v>122.72</v>
      </c>
      <c r="G317" s="31"/>
      <c r="H317" s="70"/>
    </row>
    <row r="318" spans="1:8">
      <c r="A318" s="35"/>
      <c r="B318" s="27"/>
      <c r="C318" s="14"/>
      <c r="D318" s="13"/>
      <c r="E318" s="170" t="s">
        <v>215</v>
      </c>
      <c r="F318" s="168">
        <f>SUM(F316:F317)</f>
        <v>236</v>
      </c>
      <c r="G318" s="31"/>
      <c r="H318" s="70"/>
    </row>
    <row r="319" spans="1:8">
      <c r="A319" s="35"/>
      <c r="B319" s="27"/>
      <c r="C319" s="14"/>
      <c r="D319" s="13"/>
      <c r="E319" s="170" t="s">
        <v>454</v>
      </c>
      <c r="F319" s="168">
        <f>F314+F318</f>
        <v>1479.5</v>
      </c>
      <c r="G319" s="31"/>
      <c r="H319" s="70"/>
    </row>
    <row r="320" spans="1:8" s="141" customFormat="1" ht="25.5">
      <c r="A320" s="72"/>
      <c r="B320" s="74"/>
      <c r="C320" s="14"/>
      <c r="D320" s="30" t="s">
        <v>577</v>
      </c>
      <c r="E320" s="176" t="s">
        <v>578</v>
      </c>
      <c r="F320" s="177"/>
      <c r="G320" s="31" t="s">
        <v>13</v>
      </c>
      <c r="H320" s="71">
        <f>ROUND(F321,2)</f>
        <v>19.91</v>
      </c>
    </row>
    <row r="321" spans="1:16">
      <c r="A321" s="17"/>
      <c r="B321" s="27"/>
      <c r="C321" s="14"/>
      <c r="D321" s="13"/>
      <c r="E321" s="8" t="s">
        <v>593</v>
      </c>
      <c r="F321" s="168">
        <f>(0.88+0.93)*11</f>
        <v>19.91</v>
      </c>
      <c r="G321" s="31"/>
      <c r="H321" s="70"/>
    </row>
    <row r="322" spans="1:16" ht="25.5">
      <c r="A322" s="238">
        <f>MAX(A$2:A320)+1</f>
        <v>52</v>
      </c>
      <c r="B322" s="264" t="s">
        <v>58</v>
      </c>
      <c r="C322" s="253" t="s">
        <v>817</v>
      </c>
      <c r="D322" s="240"/>
      <c r="E322" s="254" t="s">
        <v>818</v>
      </c>
      <c r="F322" s="255"/>
      <c r="G322" s="256" t="s">
        <v>13</v>
      </c>
      <c r="H322" s="257">
        <f>H323</f>
        <v>13.5</v>
      </c>
    </row>
    <row r="323" spans="1:16" ht="25.5">
      <c r="A323" s="54"/>
      <c r="B323" s="55"/>
      <c r="C323" s="241"/>
      <c r="D323" s="260" t="s">
        <v>819</v>
      </c>
      <c r="E323" s="261" t="s">
        <v>820</v>
      </c>
      <c r="F323" s="262"/>
      <c r="G323" s="263" t="s">
        <v>13</v>
      </c>
      <c r="H323" s="117">
        <f>ROUND(F324,2)</f>
        <v>13.5</v>
      </c>
    </row>
    <row r="324" spans="1:16" ht="25.5">
      <c r="A324" s="54"/>
      <c r="B324" s="55"/>
      <c r="C324" s="241"/>
      <c r="D324" s="128"/>
      <c r="E324" s="245" t="s">
        <v>843</v>
      </c>
      <c r="F324" s="246">
        <v>13.5</v>
      </c>
      <c r="G324" s="263"/>
      <c r="H324" s="257"/>
      <c r="I324" s="230" t="s">
        <v>828</v>
      </c>
    </row>
    <row r="325" spans="1:16" s="141" customFormat="1" ht="25.5">
      <c r="A325" s="238">
        <f>MAX(A$2:A323)+1</f>
        <v>53</v>
      </c>
      <c r="B325" s="270" t="s">
        <v>58</v>
      </c>
      <c r="C325" s="253" t="s">
        <v>363</v>
      </c>
      <c r="D325" s="240"/>
      <c r="E325" s="254" t="s">
        <v>364</v>
      </c>
      <c r="F325" s="255"/>
      <c r="G325" s="256" t="s">
        <v>12</v>
      </c>
      <c r="H325" s="257">
        <f>H326+H328+H330</f>
        <v>79.92</v>
      </c>
      <c r="I325" s="229" t="s">
        <v>844</v>
      </c>
    </row>
    <row r="326" spans="1:16" s="141" customFormat="1" ht="25.5">
      <c r="A326" s="72"/>
      <c r="B326" s="152"/>
      <c r="C326" s="11"/>
      <c r="D326" s="30" t="s">
        <v>621</v>
      </c>
      <c r="E326" s="176" t="s">
        <v>622</v>
      </c>
      <c r="F326" s="177"/>
      <c r="G326" s="31" t="s">
        <v>12</v>
      </c>
      <c r="H326" s="71">
        <f>ROUND(F327,2)</f>
        <v>23</v>
      </c>
    </row>
    <row r="327" spans="1:16">
      <c r="A327" s="17"/>
      <c r="B327" s="27"/>
      <c r="C327" s="14"/>
      <c r="D327" s="13"/>
      <c r="E327" s="8" t="s">
        <v>623</v>
      </c>
      <c r="F327" s="168">
        <v>23</v>
      </c>
      <c r="G327" s="31"/>
      <c r="H327" s="70"/>
    </row>
    <row r="328" spans="1:16" s="141" customFormat="1" ht="25.5">
      <c r="A328" s="72"/>
      <c r="B328" s="152"/>
      <c r="C328" s="11"/>
      <c r="D328" s="30" t="s">
        <v>365</v>
      </c>
      <c r="E328" s="176" t="s">
        <v>366</v>
      </c>
      <c r="F328" s="177"/>
      <c r="G328" s="31" t="s">
        <v>12</v>
      </c>
      <c r="H328" s="71">
        <f>ROUND(F329,2)</f>
        <v>23</v>
      </c>
    </row>
    <row r="329" spans="1:16" ht="15">
      <c r="A329" s="44"/>
      <c r="B329" s="45"/>
      <c r="C329" s="63"/>
      <c r="D329" s="59"/>
      <c r="E329" s="8" t="s">
        <v>624</v>
      </c>
      <c r="F329" s="168">
        <v>23</v>
      </c>
      <c r="G329" s="47"/>
      <c r="H329" s="106"/>
    </row>
    <row r="330" spans="1:16" s="141" customFormat="1" ht="25.5">
      <c r="A330" s="72"/>
      <c r="B330" s="152"/>
      <c r="C330" s="11"/>
      <c r="D330" s="30" t="s">
        <v>367</v>
      </c>
      <c r="E330" s="176" t="s">
        <v>368</v>
      </c>
      <c r="F330" s="177"/>
      <c r="G330" s="31" t="s">
        <v>12</v>
      </c>
      <c r="H330" s="71">
        <f>ROUND(F334,2)</f>
        <v>33.92</v>
      </c>
    </row>
    <row r="331" spans="1:16">
      <c r="A331" s="35"/>
      <c r="B331" s="27"/>
      <c r="C331" s="63"/>
      <c r="D331" s="13"/>
      <c r="E331" s="8" t="s">
        <v>369</v>
      </c>
      <c r="F331" s="168"/>
      <c r="G331" s="31"/>
      <c r="H331" s="70"/>
      <c r="P331" s="156"/>
    </row>
    <row r="332" spans="1:16">
      <c r="A332" s="35"/>
      <c r="B332" s="27"/>
      <c r="C332" s="63"/>
      <c r="D332" s="13"/>
      <c r="E332" s="8" t="s">
        <v>370</v>
      </c>
      <c r="F332" s="168">
        <f>24*1.13</f>
        <v>27.119999999999997</v>
      </c>
      <c r="G332" s="31"/>
      <c r="H332" s="70"/>
    </row>
    <row r="333" spans="1:16">
      <c r="A333" s="35"/>
      <c r="B333" s="27"/>
      <c r="C333" s="63"/>
      <c r="D333" s="13"/>
      <c r="E333" s="8" t="s">
        <v>371</v>
      </c>
      <c r="F333" s="169">
        <f>2*3.4</f>
        <v>6.8</v>
      </c>
      <c r="G333" s="31"/>
      <c r="H333" s="70"/>
    </row>
    <row r="334" spans="1:16" ht="18.75" customHeight="1">
      <c r="A334" s="35"/>
      <c r="B334" s="27"/>
      <c r="C334" s="63"/>
      <c r="D334" s="13"/>
      <c r="E334" s="170" t="s">
        <v>454</v>
      </c>
      <c r="F334" s="168">
        <f>SUM(F332:F333)</f>
        <v>33.919999999999995</v>
      </c>
      <c r="G334" s="31"/>
      <c r="H334" s="70"/>
    </row>
    <row r="335" spans="1:16" s="141" customFormat="1" ht="14.25">
      <c r="A335" s="72">
        <f>MAX(A$2:A334)+1</f>
        <v>54</v>
      </c>
      <c r="B335" s="152" t="s">
        <v>58</v>
      </c>
      <c r="C335" s="11" t="s">
        <v>532</v>
      </c>
      <c r="D335" s="28"/>
      <c r="E335" s="171" t="s">
        <v>533</v>
      </c>
      <c r="F335" s="172"/>
      <c r="G335" s="29" t="s">
        <v>11</v>
      </c>
      <c r="H335" s="70">
        <f>H336</f>
        <v>375</v>
      </c>
    </row>
    <row r="336" spans="1:16" s="141" customFormat="1" ht="14.25">
      <c r="A336" s="72"/>
      <c r="B336" s="152"/>
      <c r="C336" s="11"/>
      <c r="D336" s="30" t="s">
        <v>532</v>
      </c>
      <c r="E336" s="176" t="s">
        <v>533</v>
      </c>
      <c r="F336" s="177"/>
      <c r="G336" s="31" t="s">
        <v>11</v>
      </c>
      <c r="H336" s="71">
        <f>ROUND(F340,2)</f>
        <v>375</v>
      </c>
    </row>
    <row r="337" spans="1:8" ht="25.5">
      <c r="A337" s="35"/>
      <c r="B337" s="27"/>
      <c r="C337" s="63"/>
      <c r="D337" s="13"/>
      <c r="E337" s="8" t="s">
        <v>715</v>
      </c>
      <c r="F337" s="177"/>
      <c r="G337" s="31"/>
      <c r="H337" s="71"/>
    </row>
    <row r="338" spans="1:8">
      <c r="A338" s="35"/>
      <c r="B338" s="27"/>
      <c r="C338" s="63"/>
      <c r="D338" s="13"/>
      <c r="E338" s="8" t="s">
        <v>535</v>
      </c>
      <c r="F338" s="168">
        <v>309</v>
      </c>
      <c r="G338" s="31"/>
      <c r="H338" s="70"/>
    </row>
    <row r="339" spans="1:8">
      <c r="A339" s="35"/>
      <c r="B339" s="27"/>
      <c r="C339" s="63"/>
      <c r="D339" s="13"/>
      <c r="E339" s="8" t="s">
        <v>753</v>
      </c>
      <c r="F339" s="169">
        <v>66</v>
      </c>
      <c r="G339" s="31"/>
      <c r="H339" s="70"/>
    </row>
    <row r="340" spans="1:8">
      <c r="A340" s="35"/>
      <c r="B340" s="27"/>
      <c r="C340" s="63"/>
      <c r="D340" s="13"/>
      <c r="E340" s="170" t="s">
        <v>454</v>
      </c>
      <c r="F340" s="168">
        <f>SUM(F338:F339)</f>
        <v>375</v>
      </c>
      <c r="G340" s="31"/>
      <c r="H340" s="70"/>
    </row>
    <row r="341" spans="1:8" s="141" customFormat="1" ht="14.25">
      <c r="A341" s="72">
        <f>MAX(A$2:A338)+1</f>
        <v>55</v>
      </c>
      <c r="B341" s="152" t="s">
        <v>58</v>
      </c>
      <c r="C341" s="11" t="s">
        <v>309</v>
      </c>
      <c r="D341" s="28"/>
      <c r="E341" s="171" t="s">
        <v>310</v>
      </c>
      <c r="F341" s="172"/>
      <c r="G341" s="29" t="s">
        <v>13</v>
      </c>
      <c r="H341" s="70">
        <f>H342</f>
        <v>1233.58</v>
      </c>
    </row>
    <row r="342" spans="1:8" s="141" customFormat="1" ht="14.25">
      <c r="A342" s="72"/>
      <c r="B342" s="152"/>
      <c r="C342" s="11"/>
      <c r="D342" s="30" t="s">
        <v>309</v>
      </c>
      <c r="E342" s="176" t="s">
        <v>310</v>
      </c>
      <c r="F342" s="177"/>
      <c r="G342" s="31" t="s">
        <v>13</v>
      </c>
      <c r="H342" s="71">
        <f>ROUND(F347,2)</f>
        <v>1233.58</v>
      </c>
    </row>
    <row r="343" spans="1:8" ht="38.25">
      <c r="A343" s="44"/>
      <c r="B343" s="45"/>
      <c r="C343" s="63"/>
      <c r="D343" s="130"/>
      <c r="E343" s="8" t="s">
        <v>717</v>
      </c>
      <c r="F343" s="167"/>
      <c r="G343" s="47"/>
      <c r="H343" s="106"/>
    </row>
    <row r="344" spans="1:8" ht="15">
      <c r="A344" s="44"/>
      <c r="B344" s="45"/>
      <c r="C344" s="63"/>
      <c r="D344" s="46"/>
      <c r="E344" s="8" t="s">
        <v>311</v>
      </c>
      <c r="F344" s="167"/>
      <c r="G344" s="47"/>
      <c r="H344" s="106"/>
    </row>
    <row r="345" spans="1:8" ht="38.25">
      <c r="A345" s="44"/>
      <c r="B345" s="45"/>
      <c r="C345" s="63"/>
      <c r="D345" s="59"/>
      <c r="E345" s="8" t="s">
        <v>312</v>
      </c>
      <c r="F345" s="168">
        <f>(35.19+69.48+69.48+69.48+69.48+70.06+77.63+36.34+78.48+35.17+2*3)</f>
        <v>616.79</v>
      </c>
      <c r="G345" s="47"/>
      <c r="H345" s="106"/>
    </row>
    <row r="346" spans="1:8" ht="38.25">
      <c r="A346" s="44"/>
      <c r="B346" s="45"/>
      <c r="C346" s="63"/>
      <c r="D346" s="59"/>
      <c r="E346" s="8" t="s">
        <v>313</v>
      </c>
      <c r="F346" s="169">
        <f>(35.19+69.48+69.48+69.48+69.48+70.06+77.63+36.34+78.48+35.17+2*3)</f>
        <v>616.79</v>
      </c>
      <c r="G346" s="47"/>
      <c r="H346" s="106"/>
    </row>
    <row r="347" spans="1:8">
      <c r="A347" s="17"/>
      <c r="B347" s="27"/>
      <c r="C347" s="14"/>
      <c r="D347" s="13"/>
      <c r="E347" s="170" t="s">
        <v>454</v>
      </c>
      <c r="F347" s="168">
        <f>SUM(F345:F346)</f>
        <v>1233.58</v>
      </c>
      <c r="G347" s="31"/>
      <c r="H347" s="70"/>
    </row>
    <row r="348" spans="1:8" s="141" customFormat="1" ht="14.25">
      <c r="A348" s="72">
        <f>MAX(A$2:A347)+1</f>
        <v>56</v>
      </c>
      <c r="B348" s="152" t="s">
        <v>58</v>
      </c>
      <c r="C348" s="11" t="s">
        <v>540</v>
      </c>
      <c r="D348" s="28"/>
      <c r="E348" s="171" t="s">
        <v>541</v>
      </c>
      <c r="F348" s="172"/>
      <c r="G348" s="29" t="s">
        <v>11</v>
      </c>
      <c r="H348" s="70">
        <f>H349</f>
        <v>672</v>
      </c>
    </row>
    <row r="349" spans="1:8" s="141" customFormat="1" ht="14.25">
      <c r="A349" s="72"/>
      <c r="B349" s="152"/>
      <c r="C349" s="11"/>
      <c r="D349" s="30" t="s">
        <v>540</v>
      </c>
      <c r="E349" s="176" t="s">
        <v>541</v>
      </c>
      <c r="F349" s="177"/>
      <c r="G349" s="31" t="s">
        <v>11</v>
      </c>
      <c r="H349" s="71">
        <f>ROUND(F353,2)</f>
        <v>672</v>
      </c>
    </row>
    <row r="350" spans="1:8">
      <c r="A350" s="35"/>
      <c r="B350" s="27"/>
      <c r="C350" s="63"/>
      <c r="D350" s="13"/>
      <c r="E350" s="8" t="s">
        <v>542</v>
      </c>
      <c r="F350" s="168">
        <v>618</v>
      </c>
      <c r="G350" s="31"/>
      <c r="H350" s="70"/>
    </row>
    <row r="351" spans="1:8">
      <c r="A351" s="35"/>
      <c r="B351" s="27"/>
      <c r="C351" s="63"/>
      <c r="D351" s="13"/>
      <c r="E351" s="8" t="s">
        <v>543</v>
      </c>
      <c r="F351" s="168">
        <f>23*2</f>
        <v>46</v>
      </c>
      <c r="G351" s="31"/>
      <c r="H351" s="70"/>
    </row>
    <row r="352" spans="1:8">
      <c r="A352" s="35"/>
      <c r="B352" s="27"/>
      <c r="C352" s="63"/>
      <c r="D352" s="13"/>
      <c r="E352" s="8" t="s">
        <v>544</v>
      </c>
      <c r="F352" s="169">
        <f>4*2</f>
        <v>8</v>
      </c>
      <c r="G352" s="31"/>
      <c r="H352" s="70"/>
    </row>
    <row r="353" spans="1:8">
      <c r="A353" s="35"/>
      <c r="B353" s="27"/>
      <c r="C353" s="63"/>
      <c r="D353" s="13"/>
      <c r="E353" s="170" t="s">
        <v>454</v>
      </c>
      <c r="F353" s="168">
        <f>SUM(F350:F352)</f>
        <v>672</v>
      </c>
      <c r="G353" s="31"/>
      <c r="H353" s="70"/>
    </row>
    <row r="354" spans="1:8" s="141" customFormat="1" ht="25.5">
      <c r="A354" s="72">
        <f>MAX(A$2:A353)+1</f>
        <v>57</v>
      </c>
      <c r="B354" s="152" t="s">
        <v>58</v>
      </c>
      <c r="C354" s="11" t="s">
        <v>685</v>
      </c>
      <c r="D354" s="28"/>
      <c r="E354" s="171" t="s">
        <v>684</v>
      </c>
      <c r="F354" s="172"/>
      <c r="G354" s="29" t="s">
        <v>13</v>
      </c>
      <c r="H354" s="70">
        <f>H355</f>
        <v>114.4</v>
      </c>
    </row>
    <row r="355" spans="1:8" s="141" customFormat="1" ht="14.25">
      <c r="A355" s="72"/>
      <c r="B355" s="152"/>
      <c r="C355" s="11"/>
      <c r="D355" s="30" t="s">
        <v>685</v>
      </c>
      <c r="E355" s="176" t="s">
        <v>684</v>
      </c>
      <c r="F355" s="177"/>
      <c r="G355" s="31" t="s">
        <v>13</v>
      </c>
      <c r="H355" s="71">
        <f>ROUND(F356,2)</f>
        <v>114.4</v>
      </c>
    </row>
    <row r="356" spans="1:8" ht="25.5">
      <c r="A356" s="35"/>
      <c r="B356" s="27"/>
      <c r="C356" s="63"/>
      <c r="D356" s="13"/>
      <c r="E356" s="8" t="s">
        <v>772</v>
      </c>
      <c r="F356" s="168">
        <f>13*11*2/0.25*0.2/2</f>
        <v>114.4</v>
      </c>
      <c r="G356" s="31"/>
      <c r="H356" s="70"/>
    </row>
    <row r="357" spans="1:8" s="141" customFormat="1" ht="25.5">
      <c r="A357" s="72">
        <f>MAX(A$2:A356)+1</f>
        <v>58</v>
      </c>
      <c r="B357" s="152" t="s">
        <v>58</v>
      </c>
      <c r="C357" s="11" t="s">
        <v>37</v>
      </c>
      <c r="D357" s="28"/>
      <c r="E357" s="171" t="s">
        <v>38</v>
      </c>
      <c r="F357" s="172"/>
      <c r="G357" s="29" t="s">
        <v>12</v>
      </c>
      <c r="H357" s="70">
        <f>H358</f>
        <v>111.73</v>
      </c>
    </row>
    <row r="358" spans="1:8" s="141" customFormat="1" ht="25.5">
      <c r="A358" s="72"/>
      <c r="B358" s="152"/>
      <c r="C358" s="11"/>
      <c r="D358" s="30" t="s">
        <v>37</v>
      </c>
      <c r="E358" s="176" t="s">
        <v>38</v>
      </c>
      <c r="F358" s="177"/>
      <c r="G358" s="31" t="s">
        <v>12</v>
      </c>
      <c r="H358" s="71">
        <f>ROUND(F359,2)</f>
        <v>111.73</v>
      </c>
    </row>
    <row r="359" spans="1:8" ht="12.75" customHeight="1">
      <c r="A359" s="35"/>
      <c r="B359" s="25"/>
      <c r="C359" s="23"/>
      <c r="D359" s="21"/>
      <c r="E359" s="8" t="s">
        <v>561</v>
      </c>
      <c r="F359" s="16">
        <v>111.73</v>
      </c>
      <c r="G359" s="42"/>
      <c r="H359" s="71"/>
    </row>
    <row r="360" spans="1:8" ht="30">
      <c r="A360" s="48"/>
      <c r="B360" s="183" t="s">
        <v>69</v>
      </c>
      <c r="C360" s="63"/>
      <c r="D360" s="46"/>
      <c r="E360" s="180" t="s">
        <v>70</v>
      </c>
      <c r="F360" s="167"/>
      <c r="G360" s="47"/>
      <c r="H360" s="106"/>
    </row>
    <row r="361" spans="1:8" s="141" customFormat="1" ht="14.25">
      <c r="A361" s="72">
        <f>MAX(A$2:A360)+1</f>
        <v>59</v>
      </c>
      <c r="B361" s="152" t="s">
        <v>69</v>
      </c>
      <c r="C361" s="11" t="s">
        <v>71</v>
      </c>
      <c r="D361" s="28"/>
      <c r="E361" s="171" t="s">
        <v>72</v>
      </c>
      <c r="F361" s="172"/>
      <c r="G361" s="29" t="s">
        <v>10</v>
      </c>
      <c r="H361" s="70">
        <f>H362</f>
        <v>5.63</v>
      </c>
    </row>
    <row r="362" spans="1:8" s="141" customFormat="1" ht="14.25">
      <c r="A362" s="72"/>
      <c r="B362" s="152"/>
      <c r="C362" s="11"/>
      <c r="D362" s="30" t="s">
        <v>71</v>
      </c>
      <c r="E362" s="176" t="s">
        <v>72</v>
      </c>
      <c r="F362" s="177"/>
      <c r="G362" s="31" t="s">
        <v>10</v>
      </c>
      <c r="H362" s="71">
        <f>ROUND(F364,2)</f>
        <v>5.63</v>
      </c>
    </row>
    <row r="363" spans="1:8" ht="15">
      <c r="A363" s="35"/>
      <c r="B363" s="22"/>
      <c r="C363" s="11"/>
      <c r="D363" s="12"/>
      <c r="E363" s="8" t="s">
        <v>316</v>
      </c>
      <c r="F363" s="168"/>
      <c r="G363" s="29"/>
      <c r="H363" s="71"/>
    </row>
    <row r="364" spans="1:8" ht="12.75" customHeight="1">
      <c r="A364" s="35"/>
      <c r="B364" s="27"/>
      <c r="C364" s="26"/>
      <c r="D364" s="21"/>
      <c r="E364" s="8" t="s">
        <v>315</v>
      </c>
      <c r="F364" s="168">
        <f>0.6*0.13*0.75*37+0.5*0.195*0.75*16+0.5*0.18*0.75*34</f>
        <v>5.6295000000000002</v>
      </c>
      <c r="G364" s="41"/>
      <c r="H364" s="71"/>
    </row>
    <row r="365" spans="1:8" ht="30">
      <c r="A365" s="44"/>
      <c r="B365" s="45" t="s">
        <v>59</v>
      </c>
      <c r="C365" s="63"/>
      <c r="D365" s="46"/>
      <c r="E365" s="180" t="s">
        <v>78</v>
      </c>
      <c r="F365" s="167"/>
      <c r="G365" s="47"/>
      <c r="H365" s="106"/>
    </row>
    <row r="366" spans="1:8" s="141" customFormat="1" ht="25.5">
      <c r="A366" s="72">
        <f>MAX(A$2:A365)+1</f>
        <v>60</v>
      </c>
      <c r="B366" s="152" t="s">
        <v>59</v>
      </c>
      <c r="C366" s="11" t="s">
        <v>376</v>
      </c>
      <c r="D366" s="28"/>
      <c r="E366" s="171" t="s">
        <v>377</v>
      </c>
      <c r="F366" s="172"/>
      <c r="G366" s="29" t="s">
        <v>12</v>
      </c>
      <c r="H366" s="70">
        <f>H367</f>
        <v>16424.63</v>
      </c>
    </row>
    <row r="367" spans="1:8" s="141" customFormat="1" ht="38.25">
      <c r="A367" s="72"/>
      <c r="B367" s="152"/>
      <c r="C367" s="11"/>
      <c r="D367" s="30" t="s">
        <v>779</v>
      </c>
      <c r="E367" s="176" t="s">
        <v>780</v>
      </c>
      <c r="F367" s="177"/>
      <c r="G367" s="31" t="s">
        <v>12</v>
      </c>
      <c r="H367" s="71">
        <f>ROUND(F371,2)</f>
        <v>16424.63</v>
      </c>
    </row>
    <row r="368" spans="1:8" ht="15">
      <c r="A368" s="44"/>
      <c r="B368" s="45"/>
      <c r="C368" s="26"/>
      <c r="D368" s="20"/>
      <c r="E368" s="8" t="s">
        <v>782</v>
      </c>
      <c r="F368" s="168"/>
      <c r="G368" s="26"/>
      <c r="H368" s="106"/>
    </row>
    <row r="369" spans="1:8" ht="15">
      <c r="A369" s="44"/>
      <c r="B369" s="45"/>
      <c r="C369" s="26"/>
      <c r="D369" s="20"/>
      <c r="E369" s="8" t="s">
        <v>722</v>
      </c>
      <c r="F369" s="168">
        <f>(6637+53.75*16)*2</f>
        <v>14994</v>
      </c>
      <c r="G369" s="26"/>
      <c r="H369" s="106"/>
    </row>
    <row r="370" spans="1:8" ht="15">
      <c r="A370" s="44"/>
      <c r="B370" s="45"/>
      <c r="C370" s="26"/>
      <c r="D370" s="20"/>
      <c r="E370" s="8" t="s">
        <v>401</v>
      </c>
      <c r="F370" s="169">
        <f>551+550+(14.65+14.65)*11.25</f>
        <v>1430.625</v>
      </c>
      <c r="G370" s="26"/>
      <c r="H370" s="106"/>
    </row>
    <row r="371" spans="1:8" ht="15">
      <c r="A371" s="44"/>
      <c r="B371" s="45"/>
      <c r="C371" s="26"/>
      <c r="D371" s="20"/>
      <c r="E371" s="170" t="s">
        <v>454</v>
      </c>
      <c r="F371" s="168">
        <f>SUM(F369:F370)</f>
        <v>16424.625</v>
      </c>
      <c r="G371" s="26"/>
      <c r="H371" s="106"/>
    </row>
    <row r="372" spans="1:8" s="141" customFormat="1" ht="38.25">
      <c r="A372" s="72">
        <f>MAX(A$2:A371)+1</f>
        <v>61</v>
      </c>
      <c r="B372" s="152" t="s">
        <v>59</v>
      </c>
      <c r="C372" s="11" t="s">
        <v>408</v>
      </c>
      <c r="D372" s="28"/>
      <c r="E372" s="171" t="s">
        <v>409</v>
      </c>
      <c r="F372" s="172"/>
      <c r="G372" s="29" t="s">
        <v>12</v>
      </c>
      <c r="H372" s="70">
        <f>H373</f>
        <v>7497</v>
      </c>
    </row>
    <row r="373" spans="1:8" s="141" customFormat="1" ht="38.25">
      <c r="A373" s="72"/>
      <c r="B373" s="152"/>
      <c r="C373" s="11"/>
      <c r="D373" s="30" t="s">
        <v>410</v>
      </c>
      <c r="E373" s="176" t="s">
        <v>411</v>
      </c>
      <c r="F373" s="177"/>
      <c r="G373" s="31" t="s">
        <v>12</v>
      </c>
      <c r="H373" s="71">
        <f>ROUND(F375,2)</f>
        <v>7497</v>
      </c>
    </row>
    <row r="374" spans="1:8" ht="15">
      <c r="A374" s="44"/>
      <c r="B374" s="45"/>
      <c r="C374" s="26"/>
      <c r="D374" s="20"/>
      <c r="E374" s="8" t="s">
        <v>781</v>
      </c>
      <c r="F374" s="168"/>
      <c r="G374" s="26"/>
      <c r="H374" s="106"/>
    </row>
    <row r="375" spans="1:8" ht="15">
      <c r="A375" s="44"/>
      <c r="B375" s="45"/>
      <c r="C375" s="26"/>
      <c r="D375" s="20"/>
      <c r="E375" s="8" t="s">
        <v>412</v>
      </c>
      <c r="F375" s="168">
        <f>6637+53.75*16</f>
        <v>7497</v>
      </c>
      <c r="G375" s="26"/>
      <c r="H375" s="106"/>
    </row>
    <row r="376" spans="1:8" s="141" customFormat="1" ht="25.5">
      <c r="A376" s="72">
        <f>MAX(A$2:A375)+1</f>
        <v>62</v>
      </c>
      <c r="B376" s="152" t="s">
        <v>59</v>
      </c>
      <c r="C376" s="11" t="s">
        <v>378</v>
      </c>
      <c r="D376" s="28"/>
      <c r="E376" s="171" t="s">
        <v>379</v>
      </c>
      <c r="F376" s="172"/>
      <c r="G376" s="29" t="s">
        <v>10</v>
      </c>
      <c r="H376" s="70">
        <f>H377</f>
        <v>44.12</v>
      </c>
    </row>
    <row r="377" spans="1:8" s="141" customFormat="1" ht="25.5">
      <c r="A377" s="72"/>
      <c r="B377" s="152"/>
      <c r="C377" s="11"/>
      <c r="D377" s="30" t="s">
        <v>380</v>
      </c>
      <c r="E377" s="176" t="s">
        <v>381</v>
      </c>
      <c r="F377" s="177"/>
      <c r="G377" s="31" t="s">
        <v>10</v>
      </c>
      <c r="H377" s="71">
        <f>ROUND(F381,2)</f>
        <v>44.12</v>
      </c>
    </row>
    <row r="378" spans="1:8" ht="15">
      <c r="A378" s="44"/>
      <c r="B378" s="45"/>
      <c r="C378" s="26"/>
      <c r="D378" s="21"/>
      <c r="E378" s="8" t="s">
        <v>404</v>
      </c>
      <c r="F378" s="168"/>
      <c r="G378" s="26"/>
      <c r="H378" s="106"/>
    </row>
    <row r="379" spans="1:8" ht="25.5">
      <c r="A379" s="44"/>
      <c r="B379" s="45"/>
      <c r="C379" s="26"/>
      <c r="D379" s="21"/>
      <c r="E379" s="8" t="s">
        <v>382</v>
      </c>
      <c r="F379" s="168">
        <f>(14.65+14.65)*11.25*0.05</f>
        <v>16.481249999999999</v>
      </c>
      <c r="G379" s="26"/>
      <c r="H379" s="106"/>
    </row>
    <row r="380" spans="1:8" ht="25.5">
      <c r="A380" s="44"/>
      <c r="B380" s="45"/>
      <c r="C380" s="26"/>
      <c r="D380" s="21"/>
      <c r="E380" s="8" t="s">
        <v>383</v>
      </c>
      <c r="F380" s="169">
        <f>(13.65+13.65)*11.25*0.09</f>
        <v>27.641249999999999</v>
      </c>
      <c r="G380" s="26"/>
      <c r="H380" s="106"/>
    </row>
    <row r="381" spans="1:8" ht="15">
      <c r="A381" s="44"/>
      <c r="B381" s="45"/>
      <c r="C381" s="63"/>
      <c r="D381" s="59"/>
      <c r="E381" s="170" t="s">
        <v>454</v>
      </c>
      <c r="F381" s="168">
        <f>SUM(F379:F380)</f>
        <v>44.122500000000002</v>
      </c>
      <c r="G381" s="47"/>
      <c r="H381" s="106"/>
    </row>
    <row r="382" spans="1:8" s="141" customFormat="1" ht="25.5">
      <c r="A382" s="72">
        <f>MAX(A$2:A381)+1</f>
        <v>63</v>
      </c>
      <c r="B382" s="152" t="s">
        <v>59</v>
      </c>
      <c r="C382" s="11" t="s">
        <v>384</v>
      </c>
      <c r="D382" s="28"/>
      <c r="E382" s="171" t="s">
        <v>385</v>
      </c>
      <c r="F382" s="172"/>
      <c r="G382" s="29" t="s">
        <v>10</v>
      </c>
      <c r="H382" s="70">
        <f>H383</f>
        <v>309.52</v>
      </c>
    </row>
    <row r="383" spans="1:8" s="141" customFormat="1" ht="25.5">
      <c r="A383" s="72"/>
      <c r="B383" s="152"/>
      <c r="C383" s="11"/>
      <c r="D383" s="30" t="s">
        <v>386</v>
      </c>
      <c r="E383" s="176" t="s">
        <v>387</v>
      </c>
      <c r="F383" s="177"/>
      <c r="G383" s="31" t="s">
        <v>10</v>
      </c>
      <c r="H383" s="71">
        <f>ROUND(F387,2)</f>
        <v>309.52</v>
      </c>
    </row>
    <row r="384" spans="1:8" ht="15">
      <c r="A384" s="44"/>
      <c r="B384" s="45"/>
      <c r="C384" s="26"/>
      <c r="D384" s="21"/>
      <c r="E384" s="8" t="s">
        <v>773</v>
      </c>
      <c r="F384" s="168"/>
      <c r="G384" s="26"/>
      <c r="H384" s="106"/>
    </row>
    <row r="385" spans="1:8" ht="15">
      <c r="A385" s="44"/>
      <c r="B385" s="45"/>
      <c r="C385" s="26"/>
      <c r="D385" s="20"/>
      <c r="E385" s="8" t="s">
        <v>403</v>
      </c>
      <c r="F385" s="168">
        <f xml:space="preserve"> 6637*0.04</f>
        <v>265.48</v>
      </c>
      <c r="G385" s="26"/>
      <c r="H385" s="106"/>
    </row>
    <row r="386" spans="1:8" ht="15">
      <c r="A386" s="44"/>
      <c r="B386" s="45"/>
      <c r="C386" s="26"/>
      <c r="D386" s="21"/>
      <c r="E386" s="8" t="s">
        <v>402</v>
      </c>
      <c r="F386" s="169">
        <f>(551+550)*0.04</f>
        <v>44.04</v>
      </c>
      <c r="G386" s="26"/>
      <c r="H386" s="106"/>
    </row>
    <row r="387" spans="1:8" ht="15">
      <c r="A387" s="44"/>
      <c r="B387" s="45"/>
      <c r="C387" s="63"/>
      <c r="D387" s="59"/>
      <c r="E387" s="170" t="s">
        <v>454</v>
      </c>
      <c r="F387" s="168">
        <f>SUM(F385:F386)</f>
        <v>309.52000000000004</v>
      </c>
      <c r="G387" s="47"/>
      <c r="H387" s="106"/>
    </row>
    <row r="388" spans="1:8" s="141" customFormat="1" ht="25.5">
      <c r="A388" s="72">
        <f>MAX(A$2:A387)+1</f>
        <v>64</v>
      </c>
      <c r="B388" s="152" t="s">
        <v>59</v>
      </c>
      <c r="C388" s="11" t="s">
        <v>372</v>
      </c>
      <c r="D388" s="28"/>
      <c r="E388" s="171" t="s">
        <v>373</v>
      </c>
      <c r="F388" s="172"/>
      <c r="G388" s="29" t="s">
        <v>10</v>
      </c>
      <c r="H388" s="70">
        <f>H389</f>
        <v>3.99</v>
      </c>
    </row>
    <row r="389" spans="1:8" s="141" customFormat="1" ht="25.5">
      <c r="A389" s="72"/>
      <c r="B389" s="152"/>
      <c r="C389" s="11"/>
      <c r="D389" s="30" t="s">
        <v>374</v>
      </c>
      <c r="E389" s="176" t="s">
        <v>375</v>
      </c>
      <c r="F389" s="177"/>
      <c r="G389" s="31" t="s">
        <v>10</v>
      </c>
      <c r="H389" s="71">
        <f>ROUND(F390,2)</f>
        <v>3.99</v>
      </c>
    </row>
    <row r="390" spans="1:8" ht="15">
      <c r="A390" s="44"/>
      <c r="B390" s="45"/>
      <c r="C390" s="26"/>
      <c r="D390" s="20"/>
      <c r="E390" s="8" t="s">
        <v>531</v>
      </c>
      <c r="F390" s="168">
        <f xml:space="preserve"> 88.6*0.045</f>
        <v>3.9869999999999997</v>
      </c>
      <c r="G390" s="26"/>
      <c r="H390" s="106"/>
    </row>
    <row r="391" spans="1:8" s="141" customFormat="1" ht="25.5">
      <c r="A391" s="72">
        <f>MAX(A$2:A390)+1</f>
        <v>65</v>
      </c>
      <c r="B391" s="152" t="s">
        <v>59</v>
      </c>
      <c r="C391" s="11" t="s">
        <v>405</v>
      </c>
      <c r="D391" s="28"/>
      <c r="E391" s="171" t="s">
        <v>406</v>
      </c>
      <c r="F391" s="172"/>
      <c r="G391" s="29" t="s">
        <v>10</v>
      </c>
      <c r="H391" s="70">
        <f>H392+H394</f>
        <v>368.09</v>
      </c>
    </row>
    <row r="392" spans="1:8" s="141" customFormat="1" ht="25.5">
      <c r="A392" s="72"/>
      <c r="B392" s="152"/>
      <c r="C392" s="11"/>
      <c r="D392" s="30" t="s">
        <v>774</v>
      </c>
      <c r="E392" s="176" t="s">
        <v>775</v>
      </c>
      <c r="F392" s="177"/>
      <c r="G392" s="31" t="s">
        <v>10</v>
      </c>
      <c r="H392" s="71">
        <f>ROUND(F393,2)</f>
        <v>34.4</v>
      </c>
    </row>
    <row r="393" spans="1:8" ht="15">
      <c r="A393" s="44"/>
      <c r="B393" s="45"/>
      <c r="C393" s="26"/>
      <c r="D393" s="20"/>
      <c r="E393" s="8" t="s">
        <v>407</v>
      </c>
      <c r="F393" s="168">
        <f>53.75*16*0.04</f>
        <v>34.4</v>
      </c>
      <c r="G393" s="26"/>
      <c r="H393" s="106"/>
    </row>
    <row r="394" spans="1:8" s="141" customFormat="1" ht="25.5">
      <c r="A394" s="72"/>
      <c r="B394" s="152"/>
      <c r="C394" s="11"/>
      <c r="D394" s="30" t="s">
        <v>776</v>
      </c>
      <c r="E394" s="176" t="s">
        <v>777</v>
      </c>
      <c r="F394" s="177"/>
      <c r="G394" s="31" t="s">
        <v>10</v>
      </c>
      <c r="H394" s="71">
        <f>ROUND(F395,2)</f>
        <v>333.69</v>
      </c>
    </row>
    <row r="395" spans="1:8" ht="25.5">
      <c r="A395" s="44"/>
      <c r="B395" s="45"/>
      <c r="C395" s="26"/>
      <c r="D395" s="20"/>
      <c r="E395" s="8" t="s">
        <v>778</v>
      </c>
      <c r="F395" s="168">
        <f xml:space="preserve"> (6637+53.75*16-81.64)*0.045</f>
        <v>333.69119999999998</v>
      </c>
      <c r="G395" s="26"/>
      <c r="H395" s="106"/>
    </row>
    <row r="396" spans="1:8" ht="38.25">
      <c r="A396" s="35">
        <f>MAX(A$2:A395)+1</f>
        <v>66</v>
      </c>
      <c r="B396" s="73" t="s">
        <v>59</v>
      </c>
      <c r="C396" s="11" t="s">
        <v>451</v>
      </c>
      <c r="D396" s="28"/>
      <c r="E396" s="171" t="s">
        <v>452</v>
      </c>
      <c r="F396" s="172"/>
      <c r="G396" s="29" t="s">
        <v>13</v>
      </c>
      <c r="H396" s="70">
        <f>H397</f>
        <v>21.5</v>
      </c>
    </row>
    <row r="397" spans="1:8" ht="25.5">
      <c r="A397" s="72"/>
      <c r="B397" s="74"/>
      <c r="C397" s="14"/>
      <c r="D397" s="30" t="s">
        <v>451</v>
      </c>
      <c r="E397" s="176" t="s">
        <v>452</v>
      </c>
      <c r="F397" s="177"/>
      <c r="G397" s="31" t="s">
        <v>13</v>
      </c>
      <c r="H397" s="71">
        <f>ROUND(F398,2)</f>
        <v>21.5</v>
      </c>
    </row>
    <row r="398" spans="1:8">
      <c r="A398" s="35"/>
      <c r="B398" s="27"/>
      <c r="C398" s="26"/>
      <c r="D398" s="13"/>
      <c r="E398" s="8" t="s">
        <v>453</v>
      </c>
      <c r="F398" s="168">
        <f>10.75*2</f>
        <v>21.5</v>
      </c>
      <c r="G398" s="31"/>
      <c r="H398" s="71"/>
    </row>
    <row r="399" spans="1:8" ht="25.5">
      <c r="A399" s="35">
        <f>MAX(A$2:A398)+1</f>
        <v>67</v>
      </c>
      <c r="B399" s="73" t="s">
        <v>59</v>
      </c>
      <c r="C399" s="11" t="s">
        <v>440</v>
      </c>
      <c r="D399" s="28"/>
      <c r="E399" s="171" t="s">
        <v>442</v>
      </c>
      <c r="F399" s="172"/>
      <c r="G399" s="29" t="s">
        <v>13</v>
      </c>
      <c r="H399" s="70">
        <f>H400+H405</f>
        <v>3185.7200000000003</v>
      </c>
    </row>
    <row r="400" spans="1:8" ht="27" customHeight="1">
      <c r="A400" s="72"/>
      <c r="B400" s="74"/>
      <c r="C400" s="28"/>
      <c r="D400" s="30" t="s">
        <v>441</v>
      </c>
      <c r="E400" s="176" t="s">
        <v>443</v>
      </c>
      <c r="F400" s="177"/>
      <c r="G400" s="31" t="s">
        <v>13</v>
      </c>
      <c r="H400" s="71">
        <f>ROUND(F404,2)</f>
        <v>1571.3</v>
      </c>
    </row>
    <row r="401" spans="1:8">
      <c r="A401" s="35"/>
      <c r="B401" s="25"/>
      <c r="C401" s="26"/>
      <c r="D401" s="13"/>
      <c r="E401" s="8" t="s">
        <v>444</v>
      </c>
      <c r="F401" s="168">
        <f xml:space="preserve"> 616+10+615.4+1</f>
        <v>1242.4000000000001</v>
      </c>
      <c r="G401" s="31"/>
      <c r="H401" s="71"/>
    </row>
    <row r="402" spans="1:8">
      <c r="A402" s="35"/>
      <c r="B402" s="25"/>
      <c r="C402" s="26"/>
      <c r="D402" s="13"/>
      <c r="E402" s="8" t="s">
        <v>725</v>
      </c>
      <c r="F402" s="168">
        <f xml:space="preserve">  44*2*(0.3+0.5)</f>
        <v>70.400000000000006</v>
      </c>
      <c r="G402" s="31"/>
      <c r="H402" s="71"/>
    </row>
    <row r="403" spans="1:8">
      <c r="A403" s="35"/>
      <c r="B403" s="25"/>
      <c r="C403" s="26"/>
      <c r="D403" s="128"/>
      <c r="E403" s="8" t="s">
        <v>445</v>
      </c>
      <c r="F403" s="169">
        <f>11*11.75*2</f>
        <v>258.5</v>
      </c>
      <c r="G403" s="31"/>
      <c r="H403" s="71"/>
    </row>
    <row r="404" spans="1:8">
      <c r="A404" s="35"/>
      <c r="B404" s="27"/>
      <c r="C404" s="28"/>
      <c r="D404" s="13"/>
      <c r="E404" s="170" t="s">
        <v>454</v>
      </c>
      <c r="F404" s="168">
        <f>SUM(F401:F403)</f>
        <v>1571.3000000000002</v>
      </c>
      <c r="G404" s="31"/>
      <c r="H404" s="71"/>
    </row>
    <row r="405" spans="1:8" ht="38.25">
      <c r="A405" s="35"/>
      <c r="B405" s="27"/>
      <c r="C405" s="28"/>
      <c r="D405" s="30" t="s">
        <v>446</v>
      </c>
      <c r="E405" s="176" t="s">
        <v>447</v>
      </c>
      <c r="F405" s="177"/>
      <c r="G405" s="31" t="s">
        <v>13</v>
      </c>
      <c r="H405" s="71">
        <f>ROUND(F410,2)</f>
        <v>1614.42</v>
      </c>
    </row>
    <row r="406" spans="1:8">
      <c r="A406" s="35"/>
      <c r="B406" s="25"/>
      <c r="C406" s="26"/>
      <c r="D406" s="13"/>
      <c r="E406" s="8" t="s">
        <v>448</v>
      </c>
      <c r="F406" s="168">
        <f>616+10+615.4+1</f>
        <v>1242.4000000000001</v>
      </c>
      <c r="G406" s="31"/>
      <c r="H406" s="71"/>
    </row>
    <row r="407" spans="1:8">
      <c r="A407" s="35"/>
      <c r="B407" s="25"/>
      <c r="C407" s="26"/>
      <c r="D407" s="13"/>
      <c r="E407" s="8" t="s">
        <v>725</v>
      </c>
      <c r="F407" s="168">
        <f xml:space="preserve"> 44*2*(0.3+0.5)</f>
        <v>70.400000000000006</v>
      </c>
      <c r="G407" s="31"/>
      <c r="H407" s="71"/>
    </row>
    <row r="408" spans="1:8">
      <c r="A408" s="35"/>
      <c r="B408" s="25"/>
      <c r="C408" s="26"/>
      <c r="D408" s="13"/>
      <c r="E408" s="8" t="s">
        <v>449</v>
      </c>
      <c r="F408" s="168">
        <f>11*11.75*2</f>
        <v>258.5</v>
      </c>
      <c r="G408" s="31"/>
      <c r="H408" s="71"/>
    </row>
    <row r="409" spans="1:8">
      <c r="A409" s="35"/>
      <c r="B409" s="27"/>
      <c r="C409" s="26"/>
      <c r="D409" s="13"/>
      <c r="E409" s="8" t="s">
        <v>450</v>
      </c>
      <c r="F409" s="169">
        <f>0.95*11*2+1.01*11*2</f>
        <v>43.12</v>
      </c>
      <c r="G409" s="31"/>
      <c r="H409" s="71"/>
    </row>
    <row r="410" spans="1:8">
      <c r="A410" s="35"/>
      <c r="B410" s="27"/>
      <c r="C410" s="26"/>
      <c r="D410" s="13"/>
      <c r="E410" s="170" t="s">
        <v>454</v>
      </c>
      <c r="F410" s="168">
        <f>SUM(F406:F409)</f>
        <v>1614.42</v>
      </c>
      <c r="G410" s="31"/>
      <c r="H410" s="71"/>
    </row>
    <row r="411" spans="1:8" ht="25.5">
      <c r="A411" s="35">
        <f>MAX(A$2:A410)+1</f>
        <v>68</v>
      </c>
      <c r="B411" s="11" t="s">
        <v>59</v>
      </c>
      <c r="C411" s="11" t="s">
        <v>475</v>
      </c>
      <c r="D411" s="28"/>
      <c r="E411" s="171" t="s">
        <v>476</v>
      </c>
      <c r="F411" s="184"/>
      <c r="G411" s="29" t="s">
        <v>12</v>
      </c>
      <c r="H411" s="70">
        <f>H412</f>
        <v>112.95</v>
      </c>
    </row>
    <row r="412" spans="1:8" ht="25.5">
      <c r="A412" s="80"/>
      <c r="B412" s="81"/>
      <c r="C412" s="30"/>
      <c r="D412" s="30" t="s">
        <v>475</v>
      </c>
      <c r="E412" s="176" t="s">
        <v>476</v>
      </c>
      <c r="F412" s="186"/>
      <c r="G412" s="31" t="s">
        <v>12</v>
      </c>
      <c r="H412" s="71">
        <f>ROUND(F413,2)</f>
        <v>112.95</v>
      </c>
    </row>
    <row r="413" spans="1:8" ht="25.5">
      <c r="A413" s="44"/>
      <c r="B413" s="45"/>
      <c r="C413" s="26"/>
      <c r="D413" s="20"/>
      <c r="E413" s="8" t="s">
        <v>477</v>
      </c>
      <c r="F413" s="168">
        <f>1.5*(149+102)*0.3</f>
        <v>112.95</v>
      </c>
      <c r="G413" s="26"/>
      <c r="H413" s="106"/>
    </row>
    <row r="414" spans="1:8" ht="12.75" customHeight="1">
      <c r="A414" s="35">
        <f>MAX(A$2:A413)+1</f>
        <v>69</v>
      </c>
      <c r="B414" s="22" t="s">
        <v>59</v>
      </c>
      <c r="C414" s="11" t="s">
        <v>455</v>
      </c>
      <c r="D414" s="12"/>
      <c r="E414" s="171" t="s">
        <v>456</v>
      </c>
      <c r="F414" s="172"/>
      <c r="G414" s="29" t="s">
        <v>13</v>
      </c>
      <c r="H414" s="70">
        <f>H415</f>
        <v>30.3</v>
      </c>
    </row>
    <row r="415" spans="1:8" ht="12.75" customHeight="1">
      <c r="A415" s="35"/>
      <c r="B415" s="27"/>
      <c r="C415" s="30"/>
      <c r="D415" s="79" t="s">
        <v>457</v>
      </c>
      <c r="E415" s="176" t="s">
        <v>458</v>
      </c>
      <c r="F415" s="177"/>
      <c r="G415" s="31" t="s">
        <v>13</v>
      </c>
      <c r="H415" s="71">
        <f>ROUND(F416,2)</f>
        <v>30.3</v>
      </c>
    </row>
    <row r="416" spans="1:8" ht="25.5">
      <c r="A416" s="35"/>
      <c r="B416" s="27"/>
      <c r="C416" s="63"/>
      <c r="D416" s="20"/>
      <c r="E416" s="8" t="s">
        <v>507</v>
      </c>
      <c r="F416" s="168">
        <f>16.95+13.35</f>
        <v>30.299999999999997</v>
      </c>
      <c r="G416" s="43"/>
      <c r="H416" s="70"/>
    </row>
    <row r="417" spans="1:8" ht="15">
      <c r="A417" s="35">
        <f>MAX(A$2:A416)+1</f>
        <v>70</v>
      </c>
      <c r="B417" s="22" t="s">
        <v>59</v>
      </c>
      <c r="C417" s="11" t="s">
        <v>342</v>
      </c>
      <c r="D417" s="28"/>
      <c r="E417" s="171" t="s">
        <v>343</v>
      </c>
      <c r="F417" s="172"/>
      <c r="G417" s="29" t="s">
        <v>13</v>
      </c>
      <c r="H417" s="70">
        <f>H418</f>
        <v>56</v>
      </c>
    </row>
    <row r="418" spans="1:8">
      <c r="A418" s="35"/>
      <c r="B418" s="27"/>
      <c r="C418" s="14"/>
      <c r="D418" s="30" t="s">
        <v>344</v>
      </c>
      <c r="E418" s="176" t="s">
        <v>345</v>
      </c>
      <c r="F418" s="177"/>
      <c r="G418" s="31" t="s">
        <v>13</v>
      </c>
      <c r="H418" s="71">
        <f>F419</f>
        <v>56</v>
      </c>
    </row>
    <row r="419" spans="1:8" ht="12.75" customHeight="1">
      <c r="A419" s="35"/>
      <c r="B419" s="25"/>
      <c r="C419" s="26"/>
      <c r="D419" s="13"/>
      <c r="E419" s="8" t="s">
        <v>346</v>
      </c>
      <c r="F419" s="168">
        <f xml:space="preserve"> 28+28</f>
        <v>56</v>
      </c>
      <c r="G419" s="31"/>
      <c r="H419" s="71"/>
    </row>
    <row r="420" spans="1:8" ht="25.5">
      <c r="A420" s="35"/>
      <c r="B420" s="25"/>
      <c r="C420" s="26"/>
      <c r="D420" s="13"/>
      <c r="E420" s="8" t="s">
        <v>347</v>
      </c>
      <c r="F420" s="168"/>
      <c r="G420" s="31"/>
      <c r="H420" s="71"/>
    </row>
    <row r="421" spans="1:8" ht="25.5">
      <c r="A421" s="35">
        <f>MAX(A$2:A420)+1</f>
        <v>71</v>
      </c>
      <c r="B421" s="22" t="s">
        <v>59</v>
      </c>
      <c r="C421" s="11" t="s">
        <v>348</v>
      </c>
      <c r="D421" s="28"/>
      <c r="E421" s="171" t="s">
        <v>349</v>
      </c>
      <c r="F421" s="172"/>
      <c r="G421" s="29" t="s">
        <v>11</v>
      </c>
      <c r="H421" s="70">
        <f>H422</f>
        <v>80</v>
      </c>
    </row>
    <row r="422" spans="1:8" ht="25.5">
      <c r="A422" s="35"/>
      <c r="B422" s="27"/>
      <c r="C422" s="14"/>
      <c r="D422" s="30" t="s">
        <v>348</v>
      </c>
      <c r="E422" s="176" t="s">
        <v>349</v>
      </c>
      <c r="F422" s="177"/>
      <c r="G422" s="31" t="s">
        <v>11</v>
      </c>
      <c r="H422" s="71">
        <f>F425</f>
        <v>80</v>
      </c>
    </row>
    <row r="423" spans="1:8">
      <c r="A423" s="35"/>
      <c r="B423" s="25"/>
      <c r="C423" s="26"/>
      <c r="D423" s="13"/>
      <c r="E423" s="8" t="s">
        <v>350</v>
      </c>
      <c r="F423" s="168">
        <f>20+20</f>
        <v>40</v>
      </c>
      <c r="G423" s="31"/>
      <c r="H423" s="71"/>
    </row>
    <row r="424" spans="1:8">
      <c r="A424" s="35"/>
      <c r="B424" s="25"/>
      <c r="C424" s="26"/>
      <c r="D424" s="13"/>
      <c r="E424" s="8" t="s">
        <v>351</v>
      </c>
      <c r="F424" s="169">
        <f>20+20</f>
        <v>40</v>
      </c>
      <c r="G424" s="31"/>
      <c r="H424" s="71"/>
    </row>
    <row r="425" spans="1:8" ht="12.75" customHeight="1">
      <c r="A425" s="35"/>
      <c r="B425" s="25"/>
      <c r="C425" s="26"/>
      <c r="D425" s="13"/>
      <c r="E425" s="170" t="s">
        <v>454</v>
      </c>
      <c r="F425" s="168">
        <f>SUM(F423:F424)</f>
        <v>80</v>
      </c>
      <c r="G425" s="31"/>
      <c r="H425" s="71"/>
    </row>
    <row r="426" spans="1:8" ht="25.5">
      <c r="A426" s="35">
        <f>MAX(A$2:A425)+1</f>
        <v>72</v>
      </c>
      <c r="B426" s="22" t="s">
        <v>59</v>
      </c>
      <c r="C426" s="11" t="s">
        <v>419</v>
      </c>
      <c r="D426" s="28"/>
      <c r="E426" s="171" t="s">
        <v>420</v>
      </c>
      <c r="F426" s="172"/>
      <c r="G426" s="29" t="s">
        <v>11</v>
      </c>
      <c r="H426" s="70">
        <f>H427</f>
        <v>74</v>
      </c>
    </row>
    <row r="427" spans="1:8" ht="25.5">
      <c r="A427" s="35"/>
      <c r="B427" s="27"/>
      <c r="C427" s="14"/>
      <c r="D427" s="30" t="s">
        <v>419</v>
      </c>
      <c r="E427" s="176" t="s">
        <v>420</v>
      </c>
      <c r="F427" s="177"/>
      <c r="G427" s="31" t="s">
        <v>11</v>
      </c>
      <c r="H427" s="71">
        <f>F428</f>
        <v>74</v>
      </c>
    </row>
    <row r="428" spans="1:8">
      <c r="A428" s="35"/>
      <c r="B428" s="25"/>
      <c r="C428" s="26"/>
      <c r="D428" s="13"/>
      <c r="E428" s="8" t="s">
        <v>425</v>
      </c>
      <c r="F428" s="168">
        <f>37+37</f>
        <v>74</v>
      </c>
      <c r="G428" s="31"/>
      <c r="H428" s="71"/>
    </row>
    <row r="429" spans="1:8" ht="25.5">
      <c r="A429" s="35">
        <f>MAX(A$2:A428)+1</f>
        <v>73</v>
      </c>
      <c r="B429" s="22" t="s">
        <v>59</v>
      </c>
      <c r="C429" s="11" t="s">
        <v>421</v>
      </c>
      <c r="D429" s="28"/>
      <c r="E429" s="171" t="s">
        <v>422</v>
      </c>
      <c r="F429" s="172"/>
      <c r="G429" s="29" t="s">
        <v>11</v>
      </c>
      <c r="H429" s="70">
        <f>H430</f>
        <v>2</v>
      </c>
    </row>
    <row r="430" spans="1:8" ht="25.5">
      <c r="A430" s="35"/>
      <c r="B430" s="27"/>
      <c r="C430" s="14"/>
      <c r="D430" s="30" t="s">
        <v>423</v>
      </c>
      <c r="E430" s="176" t="s">
        <v>424</v>
      </c>
      <c r="F430" s="177"/>
      <c r="G430" s="31" t="s">
        <v>11</v>
      </c>
      <c r="H430" s="71">
        <f>F431</f>
        <v>2</v>
      </c>
    </row>
    <row r="431" spans="1:8" ht="12.75" customHeight="1">
      <c r="A431" s="35"/>
      <c r="B431" s="27"/>
      <c r="C431" s="26"/>
      <c r="D431" s="13"/>
      <c r="E431" s="8" t="s">
        <v>426</v>
      </c>
      <c r="F431" s="168">
        <v>2</v>
      </c>
      <c r="G431" s="31"/>
      <c r="H431" s="71"/>
    </row>
    <row r="432" spans="1:8" ht="12.75" customHeight="1">
      <c r="A432" s="35"/>
      <c r="B432" s="27"/>
      <c r="C432" s="26"/>
      <c r="D432" s="13"/>
      <c r="E432" s="8"/>
      <c r="F432" s="168"/>
      <c r="G432" s="31"/>
      <c r="H432" s="71"/>
    </row>
    <row r="433" spans="1:9" ht="15">
      <c r="A433" s="35">
        <f>MAX(A$2:A432)+1</f>
        <v>74</v>
      </c>
      <c r="B433" s="22" t="s">
        <v>59</v>
      </c>
      <c r="C433" s="11" t="s">
        <v>74</v>
      </c>
      <c r="D433" s="28"/>
      <c r="E433" s="171" t="s">
        <v>75</v>
      </c>
      <c r="F433" s="172"/>
      <c r="G433" s="29" t="s">
        <v>13</v>
      </c>
      <c r="H433" s="70">
        <f>H434</f>
        <v>26.64</v>
      </c>
    </row>
    <row r="434" spans="1:9">
      <c r="A434" s="35"/>
      <c r="B434" s="27"/>
      <c r="C434" s="14"/>
      <c r="D434" s="30" t="s">
        <v>76</v>
      </c>
      <c r="E434" s="176" t="s">
        <v>77</v>
      </c>
      <c r="F434" s="177"/>
      <c r="G434" s="31" t="s">
        <v>13</v>
      </c>
      <c r="H434" s="71">
        <f>F437</f>
        <v>26.64</v>
      </c>
    </row>
    <row r="435" spans="1:9">
      <c r="A435" s="35"/>
      <c r="B435" s="27"/>
      <c r="C435" s="14"/>
      <c r="D435" s="13"/>
      <c r="E435" s="8" t="s">
        <v>562</v>
      </c>
      <c r="F435" s="168">
        <f>6*2+10.64</f>
        <v>22.64</v>
      </c>
      <c r="G435" s="31"/>
      <c r="H435" s="71"/>
    </row>
    <row r="436" spans="1:9" ht="12.75" customHeight="1">
      <c r="A436" s="35"/>
      <c r="B436" s="27"/>
      <c r="C436" s="26"/>
      <c r="D436" s="21"/>
      <c r="E436" s="8" t="s">
        <v>427</v>
      </c>
      <c r="F436" s="169">
        <f>2*2</f>
        <v>4</v>
      </c>
      <c r="G436" s="43"/>
      <c r="H436" s="70"/>
    </row>
    <row r="437" spans="1:9" ht="12.75" customHeight="1">
      <c r="A437" s="35"/>
      <c r="B437" s="27"/>
      <c r="C437" s="26"/>
      <c r="D437" s="21"/>
      <c r="E437" s="170" t="s">
        <v>454</v>
      </c>
      <c r="F437" s="168">
        <f>SUM(F435:F436)</f>
        <v>26.64</v>
      </c>
      <c r="G437" s="43"/>
      <c r="H437" s="70"/>
    </row>
    <row r="438" spans="1:9" ht="25.5">
      <c r="A438" s="35">
        <f>MAX(A$2:A437)+1</f>
        <v>75</v>
      </c>
      <c r="B438" s="82" t="s">
        <v>59</v>
      </c>
      <c r="C438" s="11" t="s">
        <v>478</v>
      </c>
      <c r="D438" s="12"/>
      <c r="E438" s="171" t="s">
        <v>479</v>
      </c>
      <c r="F438" s="187"/>
      <c r="G438" s="29" t="s">
        <v>13</v>
      </c>
      <c r="H438" s="83">
        <f>(+H439)</f>
        <v>116</v>
      </c>
    </row>
    <row r="439" spans="1:9" ht="12.75" customHeight="1">
      <c r="A439" s="84"/>
      <c r="B439" s="85"/>
      <c r="C439" s="86"/>
      <c r="D439" s="30" t="s">
        <v>480</v>
      </c>
      <c r="E439" s="176" t="s">
        <v>481</v>
      </c>
      <c r="F439" s="177"/>
      <c r="G439" s="31" t="s">
        <v>13</v>
      </c>
      <c r="H439" s="87">
        <f>ROUND(F440,2)</f>
        <v>116</v>
      </c>
    </row>
    <row r="440" spans="1:9" ht="12.75" customHeight="1">
      <c r="A440" s="88"/>
      <c r="B440" s="89"/>
      <c r="C440" s="188"/>
      <c r="D440" s="90"/>
      <c r="E440" s="107" t="s">
        <v>695</v>
      </c>
      <c r="F440" s="168">
        <f>(15+25+10.5+7.5)*2</f>
        <v>116</v>
      </c>
      <c r="G440" s="91"/>
      <c r="H440" s="92"/>
    </row>
    <row r="441" spans="1:9" ht="25.5">
      <c r="A441" s="35">
        <f>MAX(A$2:A440)+1</f>
        <v>76</v>
      </c>
      <c r="B441" s="22" t="s">
        <v>59</v>
      </c>
      <c r="C441" s="11" t="s">
        <v>203</v>
      </c>
      <c r="D441" s="28"/>
      <c r="E441" s="171" t="s">
        <v>204</v>
      </c>
      <c r="F441" s="172"/>
      <c r="G441" s="29" t="s">
        <v>12</v>
      </c>
      <c r="H441" s="70">
        <f>H442</f>
        <v>8013.56</v>
      </c>
    </row>
    <row r="442" spans="1:9" ht="25.5">
      <c r="A442" s="44"/>
      <c r="B442" s="45"/>
      <c r="C442" s="14"/>
      <c r="D442" s="30" t="s">
        <v>205</v>
      </c>
      <c r="E442" s="176" t="s">
        <v>206</v>
      </c>
      <c r="F442" s="177"/>
      <c r="G442" s="31" t="s">
        <v>12</v>
      </c>
      <c r="H442" s="71">
        <f>ROUND(F443,2)</f>
        <v>8013.56</v>
      </c>
    </row>
    <row r="443" spans="1:9" ht="38.25">
      <c r="A443" s="44"/>
      <c r="B443" s="45"/>
      <c r="C443" s="63"/>
      <c r="D443" s="46"/>
      <c r="E443" s="8" t="s">
        <v>459</v>
      </c>
      <c r="F443" s="168">
        <f xml:space="preserve"> 13.12*(35.19+69.48+69.48+69.48+69.48+70.06+77.63+36.34+78.48+35.17)</f>
        <v>8013.5647999999992</v>
      </c>
      <c r="G443" s="47"/>
      <c r="H443" s="106"/>
    </row>
    <row r="444" spans="1:9" ht="30">
      <c r="A444" s="48"/>
      <c r="B444" s="49" t="s">
        <v>388</v>
      </c>
      <c r="C444" s="49"/>
      <c r="D444" s="50"/>
      <c r="E444" s="189" t="s">
        <v>389</v>
      </c>
      <c r="F444" s="167"/>
      <c r="G444" s="47"/>
      <c r="H444" s="70"/>
    </row>
    <row r="445" spans="1:9" ht="25.5">
      <c r="A445" s="54">
        <f>MAX(A$2:A444)+1</f>
        <v>77</v>
      </c>
      <c r="B445" s="271" t="s">
        <v>388</v>
      </c>
      <c r="C445" s="253" t="s">
        <v>484</v>
      </c>
      <c r="D445" s="240"/>
      <c r="E445" s="254" t="s">
        <v>485</v>
      </c>
      <c r="F445" s="255"/>
      <c r="G445" s="256" t="s">
        <v>10</v>
      </c>
      <c r="H445" s="257">
        <f>H446</f>
        <v>3.33</v>
      </c>
    </row>
    <row r="446" spans="1:9" ht="12.75" customHeight="1">
      <c r="A446" s="54"/>
      <c r="B446" s="55"/>
      <c r="C446" s="56"/>
      <c r="D446" s="260" t="s">
        <v>484</v>
      </c>
      <c r="E446" s="261" t="s">
        <v>485</v>
      </c>
      <c r="F446" s="262"/>
      <c r="G446" s="263" t="s">
        <v>10</v>
      </c>
      <c r="H446" s="117">
        <f>ROUND(F450,2)</f>
        <v>3.33</v>
      </c>
      <c r="I446" s="228" t="s">
        <v>838</v>
      </c>
    </row>
    <row r="447" spans="1:9" ht="12.75" customHeight="1">
      <c r="A447" s="54"/>
      <c r="B447" s="55"/>
      <c r="C447" s="56"/>
      <c r="D447" s="57"/>
      <c r="E447" s="8" t="s">
        <v>529</v>
      </c>
      <c r="F447" s="168">
        <f>(0.5+3.9)*0.15</f>
        <v>0.66</v>
      </c>
      <c r="G447" s="272"/>
      <c r="H447" s="257"/>
    </row>
    <row r="448" spans="1:9" ht="12.75" customHeight="1">
      <c r="A448" s="54"/>
      <c r="B448" s="55"/>
      <c r="C448" s="56"/>
      <c r="D448" s="57"/>
      <c r="E448" s="245" t="s">
        <v>837</v>
      </c>
      <c r="F448" s="246">
        <f>0.3*16*0.15</f>
        <v>0.72</v>
      </c>
      <c r="G448" s="272"/>
      <c r="H448" s="257"/>
    </row>
    <row r="449" spans="1:8" ht="12.75" customHeight="1">
      <c r="A449" s="54"/>
      <c r="B449" s="55"/>
      <c r="C449" s="56"/>
      <c r="D449" s="57"/>
      <c r="E449" s="8" t="s">
        <v>474</v>
      </c>
      <c r="F449" s="169">
        <f>1.5*(10.2+7.1)*0.5*0.15</f>
        <v>1.9462499999999996</v>
      </c>
      <c r="G449" s="272"/>
      <c r="H449" s="257"/>
    </row>
    <row r="450" spans="1:8" ht="15">
      <c r="A450" s="273"/>
      <c r="B450" s="274"/>
      <c r="C450" s="275"/>
      <c r="D450" s="276"/>
      <c r="E450" s="248" t="s">
        <v>454</v>
      </c>
      <c r="F450" s="246">
        <f>SUM(F447:F449)</f>
        <v>3.3262499999999995</v>
      </c>
      <c r="G450" s="277"/>
      <c r="H450" s="257"/>
    </row>
    <row r="451" spans="1:8" ht="25.5">
      <c r="A451" s="35">
        <f>MAX(A$2:A450)+1</f>
        <v>78</v>
      </c>
      <c r="B451" s="22" t="s">
        <v>388</v>
      </c>
      <c r="C451" s="11" t="s">
        <v>392</v>
      </c>
      <c r="D451" s="28"/>
      <c r="E451" s="171" t="s">
        <v>393</v>
      </c>
      <c r="F451" s="172"/>
      <c r="G451" s="29" t="s">
        <v>10</v>
      </c>
      <c r="H451" s="70">
        <f>H452</f>
        <v>49.5</v>
      </c>
    </row>
    <row r="452" spans="1:8" ht="12.75" customHeight="1">
      <c r="A452" s="35"/>
      <c r="B452" s="27"/>
      <c r="C452" s="14"/>
      <c r="D452" s="30" t="s">
        <v>392</v>
      </c>
      <c r="E452" s="176" t="s">
        <v>393</v>
      </c>
      <c r="F452" s="177"/>
      <c r="G452" s="31" t="s">
        <v>10</v>
      </c>
      <c r="H452" s="71">
        <f>ROUND(F453,2)</f>
        <v>49.5</v>
      </c>
    </row>
    <row r="453" spans="1:8" ht="12.75" customHeight="1">
      <c r="A453" s="35"/>
      <c r="B453" s="27"/>
      <c r="C453" s="26"/>
      <c r="D453" s="21"/>
      <c r="E453" s="8" t="s">
        <v>395</v>
      </c>
      <c r="F453" s="168">
        <f>(10+10)*11.25*0.22</f>
        <v>49.5</v>
      </c>
      <c r="G453" s="43"/>
      <c r="H453" s="70"/>
    </row>
    <row r="454" spans="1:8" ht="25.5">
      <c r="A454" s="35">
        <f>MAX(A$2:A453)+1</f>
        <v>79</v>
      </c>
      <c r="B454" s="22" t="s">
        <v>388</v>
      </c>
      <c r="C454" s="11" t="s">
        <v>545</v>
      </c>
      <c r="D454" s="28"/>
      <c r="E454" s="171" t="s">
        <v>546</v>
      </c>
      <c r="F454" s="172"/>
      <c r="G454" s="29" t="s">
        <v>10</v>
      </c>
      <c r="H454" s="70">
        <f>H455</f>
        <v>20</v>
      </c>
    </row>
    <row r="455" spans="1:8" ht="25.5">
      <c r="A455" s="35"/>
      <c r="B455" s="27"/>
      <c r="C455" s="14"/>
      <c r="D455" s="30" t="s">
        <v>547</v>
      </c>
      <c r="E455" s="176" t="s">
        <v>548</v>
      </c>
      <c r="F455" s="177"/>
      <c r="G455" s="31" t="s">
        <v>10</v>
      </c>
      <c r="H455" s="71">
        <f>ROUND(F456,2)</f>
        <v>20</v>
      </c>
    </row>
    <row r="456" spans="1:8" ht="12.75" customHeight="1">
      <c r="A456" s="35"/>
      <c r="B456" s="27"/>
      <c r="C456" s="26"/>
      <c r="D456" s="21"/>
      <c r="E456" s="8" t="s">
        <v>549</v>
      </c>
      <c r="F456" s="168">
        <v>20</v>
      </c>
      <c r="G456" s="43"/>
      <c r="H456" s="70"/>
    </row>
    <row r="457" spans="1:8" ht="25.5">
      <c r="A457" s="35">
        <f>MAX(A$2:A456)+1</f>
        <v>80</v>
      </c>
      <c r="B457" s="22" t="s">
        <v>388</v>
      </c>
      <c r="C457" s="11" t="s">
        <v>550</v>
      </c>
      <c r="D457" s="28"/>
      <c r="E457" s="171" t="s">
        <v>551</v>
      </c>
      <c r="F457" s="172"/>
      <c r="G457" s="29" t="s">
        <v>10</v>
      </c>
      <c r="H457" s="70">
        <f>H458</f>
        <v>39.57</v>
      </c>
    </row>
    <row r="458" spans="1:8" ht="25.5">
      <c r="A458" s="35"/>
      <c r="B458" s="27"/>
      <c r="C458" s="14"/>
      <c r="D458" s="30" t="s">
        <v>550</v>
      </c>
      <c r="E458" s="176" t="s">
        <v>551</v>
      </c>
      <c r="F458" s="177"/>
      <c r="G458" s="31" t="s">
        <v>10</v>
      </c>
      <c r="H458" s="71">
        <f>ROUND(F461,2)</f>
        <v>39.57</v>
      </c>
    </row>
    <row r="459" spans="1:8" ht="12.75" customHeight="1">
      <c r="A459" s="35"/>
      <c r="B459" s="27"/>
      <c r="C459" s="26"/>
      <c r="D459" s="21"/>
      <c r="E459" s="8" t="s">
        <v>552</v>
      </c>
      <c r="F459" s="168">
        <f>188.41*0.1</f>
        <v>18.841000000000001</v>
      </c>
      <c r="G459" s="43"/>
      <c r="H459" s="70"/>
    </row>
    <row r="460" spans="1:8" ht="12.75" customHeight="1">
      <c r="A460" s="35"/>
      <c r="B460" s="27"/>
      <c r="C460" s="26"/>
      <c r="D460" s="21"/>
      <c r="E460" s="8" t="s">
        <v>553</v>
      </c>
      <c r="F460" s="169">
        <f>188.41*1.1*0.1</f>
        <v>20.725100000000001</v>
      </c>
      <c r="G460" s="43"/>
      <c r="H460" s="70"/>
    </row>
    <row r="461" spans="1:8" ht="12.75" customHeight="1">
      <c r="A461" s="35"/>
      <c r="B461" s="27"/>
      <c r="C461" s="26"/>
      <c r="D461" s="21"/>
      <c r="E461" s="170" t="s">
        <v>454</v>
      </c>
      <c r="F461" s="168">
        <f>SUM(F459:F460)</f>
        <v>39.566100000000006</v>
      </c>
      <c r="G461" s="43"/>
      <c r="H461" s="70"/>
    </row>
    <row r="462" spans="1:8" ht="25.5">
      <c r="A462" s="35">
        <f>MAX(A$2:A461)+1</f>
        <v>81</v>
      </c>
      <c r="B462" s="22" t="s">
        <v>388</v>
      </c>
      <c r="C462" s="11" t="s">
        <v>390</v>
      </c>
      <c r="D462" s="28"/>
      <c r="E462" s="171" t="s">
        <v>391</v>
      </c>
      <c r="F462" s="172"/>
      <c r="G462" s="29" t="s">
        <v>10</v>
      </c>
      <c r="H462" s="70">
        <f>H463</f>
        <v>57.6</v>
      </c>
    </row>
    <row r="463" spans="1:8" ht="26.25">
      <c r="A463" s="35"/>
      <c r="B463" s="27"/>
      <c r="C463" s="26"/>
      <c r="D463" s="30" t="s">
        <v>390</v>
      </c>
      <c r="E463" s="177" t="s">
        <v>391</v>
      </c>
      <c r="F463" s="177"/>
      <c r="G463" s="31" t="s">
        <v>10</v>
      </c>
      <c r="H463" s="71">
        <f>ROUND(F464,2)</f>
        <v>57.6</v>
      </c>
    </row>
    <row r="464" spans="1:8" ht="25.5">
      <c r="A464" s="35"/>
      <c r="B464" s="27"/>
      <c r="C464" s="26"/>
      <c r="D464" s="21"/>
      <c r="E464" s="8" t="s">
        <v>394</v>
      </c>
      <c r="F464" s="168">
        <f>(12.8+12.8)*11.25*0.2</f>
        <v>57.6</v>
      </c>
      <c r="G464" s="43"/>
      <c r="H464" s="70"/>
    </row>
    <row r="465" spans="1:8" ht="25.5">
      <c r="A465" s="9">
        <f>MAX(A$2:A464)+1</f>
        <v>82</v>
      </c>
      <c r="B465" s="22" t="s">
        <v>388</v>
      </c>
      <c r="C465" s="11" t="s">
        <v>482</v>
      </c>
      <c r="D465" s="28"/>
      <c r="E465" s="171" t="s">
        <v>483</v>
      </c>
      <c r="F465" s="172"/>
      <c r="G465" s="29" t="s">
        <v>10</v>
      </c>
      <c r="H465" s="70">
        <f>H466</f>
        <v>12.18</v>
      </c>
    </row>
    <row r="466" spans="1:8" ht="39">
      <c r="A466" s="35"/>
      <c r="B466" s="27"/>
      <c r="C466" s="26"/>
      <c r="D466" s="30" t="s">
        <v>704</v>
      </c>
      <c r="E466" s="177" t="s">
        <v>705</v>
      </c>
      <c r="F466" s="177"/>
      <c r="G466" s="31" t="s">
        <v>10</v>
      </c>
      <c r="H466" s="71">
        <f>ROUND(F467,2)</f>
        <v>12.18</v>
      </c>
    </row>
    <row r="467" spans="1:8" ht="12.75" customHeight="1">
      <c r="A467" s="35"/>
      <c r="B467" s="27"/>
      <c r="C467" s="26"/>
      <c r="D467" s="21"/>
      <c r="E467" s="8" t="s">
        <v>696</v>
      </c>
      <c r="F467" s="168">
        <f>(15+25+10.5+7.5)*2*0.7*0.15</f>
        <v>12.179999999999998</v>
      </c>
      <c r="G467" s="43"/>
      <c r="H467" s="70"/>
    </row>
    <row r="468" spans="1:8" ht="25.5" customHeight="1">
      <c r="A468" s="9">
        <f>MAX(A$2:A467)+1</f>
        <v>83</v>
      </c>
      <c r="B468" s="22" t="s">
        <v>388</v>
      </c>
      <c r="C468" s="11" t="s">
        <v>396</v>
      </c>
      <c r="D468" s="28"/>
      <c r="E468" s="171" t="s">
        <v>397</v>
      </c>
      <c r="F468" s="172"/>
      <c r="G468" s="29" t="s">
        <v>12</v>
      </c>
      <c r="H468" s="70">
        <f>H469</f>
        <v>307.13</v>
      </c>
    </row>
    <row r="469" spans="1:8" ht="38.25">
      <c r="A469" s="35"/>
      <c r="B469" s="27"/>
      <c r="C469" s="75"/>
      <c r="D469" s="30" t="s">
        <v>399</v>
      </c>
      <c r="E469" s="176" t="s">
        <v>400</v>
      </c>
      <c r="F469" s="177"/>
      <c r="G469" s="31" t="s">
        <v>12</v>
      </c>
      <c r="H469" s="76">
        <f>ROUND(F470,2)</f>
        <v>307.13</v>
      </c>
    </row>
    <row r="470" spans="1:8" ht="12.75" customHeight="1">
      <c r="A470" s="35"/>
      <c r="B470" s="27"/>
      <c r="C470" s="26"/>
      <c r="D470" s="21"/>
      <c r="E470" s="8" t="s">
        <v>398</v>
      </c>
      <c r="F470" s="168">
        <f>(13.65+13.65)*11.25</f>
        <v>307.125</v>
      </c>
      <c r="G470" s="43"/>
      <c r="H470" s="70"/>
    </row>
    <row r="471" spans="1:8" ht="15" customHeight="1">
      <c r="A471" s="9">
        <f>MAX(A$2:A470)+1</f>
        <v>84</v>
      </c>
      <c r="B471" s="22" t="s">
        <v>388</v>
      </c>
      <c r="C471" s="11" t="s">
        <v>466</v>
      </c>
      <c r="D471" s="28"/>
      <c r="E471" s="171" t="s">
        <v>467</v>
      </c>
      <c r="F471" s="172"/>
      <c r="G471" s="29" t="s">
        <v>13</v>
      </c>
      <c r="H471" s="70">
        <f>H472</f>
        <v>1250</v>
      </c>
    </row>
    <row r="472" spans="1:8">
      <c r="A472" s="35"/>
      <c r="B472" s="27"/>
      <c r="C472" s="75"/>
      <c r="D472" s="30" t="s">
        <v>466</v>
      </c>
      <c r="E472" s="176" t="s">
        <v>467</v>
      </c>
      <c r="F472" s="177"/>
      <c r="G472" s="31" t="s">
        <v>13</v>
      </c>
      <c r="H472" s="76">
        <f>F474</f>
        <v>1250</v>
      </c>
    </row>
    <row r="473" spans="1:8" ht="12.75" customHeight="1">
      <c r="A473" s="35"/>
      <c r="B473" s="27"/>
      <c r="C473" s="26"/>
      <c r="D473" s="21"/>
      <c r="E473" s="8" t="s">
        <v>678</v>
      </c>
      <c r="F473" s="168"/>
      <c r="G473" s="43"/>
      <c r="H473" s="70"/>
    </row>
    <row r="474" spans="1:8" ht="12.75" customHeight="1">
      <c r="A474" s="35"/>
      <c r="B474" s="27"/>
      <c r="C474" s="26"/>
      <c r="D474" s="21"/>
      <c r="E474" s="8" t="s">
        <v>677</v>
      </c>
      <c r="F474" s="168">
        <f>625*2</f>
        <v>1250</v>
      </c>
      <c r="G474" s="43"/>
      <c r="H474" s="70"/>
    </row>
    <row r="475" spans="1:8" ht="15">
      <c r="A475" s="48"/>
      <c r="B475" s="49" t="s">
        <v>691</v>
      </c>
      <c r="C475" s="49"/>
      <c r="D475" s="50"/>
      <c r="E475" s="189" t="s">
        <v>692</v>
      </c>
      <c r="F475" s="167"/>
      <c r="G475" s="47"/>
      <c r="H475" s="106"/>
    </row>
    <row r="476" spans="1:8" ht="38.25">
      <c r="A476" s="35">
        <f>MAX(A$2:A475)+1</f>
        <v>85</v>
      </c>
      <c r="B476" s="22" t="s">
        <v>691</v>
      </c>
      <c r="C476" s="121" t="s">
        <v>686</v>
      </c>
      <c r="D476" s="122"/>
      <c r="E476" s="190" t="s">
        <v>687</v>
      </c>
      <c r="F476" s="190"/>
      <c r="G476" s="123" t="s">
        <v>11</v>
      </c>
      <c r="H476" s="70">
        <f>H477</f>
        <v>1</v>
      </c>
    </row>
    <row r="477" spans="1:8" ht="38.25">
      <c r="A477" s="35"/>
      <c r="B477" s="27"/>
      <c r="C477" s="26"/>
      <c r="D477" s="124" t="s">
        <v>688</v>
      </c>
      <c r="E477" s="191" t="s">
        <v>689</v>
      </c>
      <c r="F477" s="191"/>
      <c r="G477" s="125" t="s">
        <v>11</v>
      </c>
      <c r="H477" s="71">
        <f>F478</f>
        <v>1</v>
      </c>
    </row>
    <row r="478" spans="1:8" ht="12.75" customHeight="1">
      <c r="A478" s="44"/>
      <c r="B478" s="45"/>
      <c r="C478" s="26"/>
      <c r="D478" s="20"/>
      <c r="E478" s="8" t="s">
        <v>690</v>
      </c>
      <c r="F478" s="168">
        <v>1</v>
      </c>
      <c r="G478" s="26"/>
      <c r="H478" s="106"/>
    </row>
    <row r="479" spans="1:8" ht="30">
      <c r="A479" s="48"/>
      <c r="B479" s="49" t="s">
        <v>60</v>
      </c>
      <c r="C479" s="49"/>
      <c r="D479" s="50"/>
      <c r="E479" s="189" t="s">
        <v>81</v>
      </c>
      <c r="F479" s="167"/>
      <c r="G479" s="47"/>
      <c r="H479" s="106"/>
    </row>
    <row r="480" spans="1:8" ht="15" customHeight="1">
      <c r="A480" s="9">
        <f>MAX(A$2:A479)+1</f>
        <v>86</v>
      </c>
      <c r="B480" s="182" t="s">
        <v>60</v>
      </c>
      <c r="C480" s="11" t="s">
        <v>317</v>
      </c>
      <c r="D480" s="28"/>
      <c r="E480" s="171" t="s">
        <v>318</v>
      </c>
      <c r="F480" s="172"/>
      <c r="G480" s="29" t="s">
        <v>10</v>
      </c>
      <c r="H480" s="106">
        <f>H481</f>
        <v>16.29</v>
      </c>
    </row>
    <row r="481" spans="1:9" ht="26.25">
      <c r="A481" s="48"/>
      <c r="B481" s="192"/>
      <c r="C481" s="49"/>
      <c r="D481" s="32" t="s">
        <v>319</v>
      </c>
      <c r="E481" s="193" t="s">
        <v>320</v>
      </c>
      <c r="F481" s="193"/>
      <c r="G481" s="37" t="s">
        <v>10</v>
      </c>
      <c r="H481" s="76">
        <f>ROUND(F482,2)</f>
        <v>16.29</v>
      </c>
    </row>
    <row r="482" spans="1:9" ht="12.75" customHeight="1">
      <c r="A482" s="35"/>
      <c r="B482" s="25"/>
      <c r="C482" s="26"/>
      <c r="D482" s="13"/>
      <c r="E482" s="8" t="s">
        <v>321</v>
      </c>
      <c r="F482" s="168">
        <f>5.53*1.15+7.42*0.4+4.33*1.15+4.95*0.4</f>
        <v>16.286999999999999</v>
      </c>
      <c r="G482" s="31"/>
      <c r="H482" s="71"/>
    </row>
    <row r="483" spans="1:9" ht="12.75" customHeight="1">
      <c r="A483" s="10">
        <f>MAX(A$2:A482)+1</f>
        <v>87</v>
      </c>
      <c r="B483" s="33" t="s">
        <v>60</v>
      </c>
      <c r="C483" s="11" t="s">
        <v>92</v>
      </c>
      <c r="D483" s="28"/>
      <c r="E483" s="171" t="s">
        <v>93</v>
      </c>
      <c r="F483" s="172"/>
      <c r="G483" s="29" t="s">
        <v>12</v>
      </c>
      <c r="H483" s="70">
        <f>H484</f>
        <v>63.36</v>
      </c>
    </row>
    <row r="484" spans="1:9" ht="12.75" customHeight="1">
      <c r="A484" s="35"/>
      <c r="B484" s="25"/>
      <c r="C484" s="14"/>
      <c r="D484" s="30" t="s">
        <v>94</v>
      </c>
      <c r="E484" s="176" t="s">
        <v>95</v>
      </c>
      <c r="F484" s="177"/>
      <c r="G484" s="31" t="s">
        <v>12</v>
      </c>
      <c r="H484" s="71">
        <f>ROUND(F485,2)</f>
        <v>63.36</v>
      </c>
    </row>
    <row r="485" spans="1:9" ht="12.75" customHeight="1">
      <c r="A485" s="35"/>
      <c r="B485" s="25"/>
      <c r="C485" s="26"/>
      <c r="D485" s="13"/>
      <c r="E485" s="8" t="s">
        <v>322</v>
      </c>
      <c r="F485" s="168">
        <f>(12.95+2.8+9.27+2.06+2.3*2)*2</f>
        <v>63.36</v>
      </c>
      <c r="G485" s="31"/>
      <c r="H485" s="71"/>
    </row>
    <row r="486" spans="1:9" ht="25.5">
      <c r="A486" s="10">
        <f>MAX(A$2:A485)+1</f>
        <v>88</v>
      </c>
      <c r="B486" s="33" t="s">
        <v>60</v>
      </c>
      <c r="C486" s="26" t="s">
        <v>626</v>
      </c>
      <c r="D486" s="13"/>
      <c r="E486" s="171" t="s">
        <v>627</v>
      </c>
      <c r="F486" s="168"/>
      <c r="G486" s="29" t="s">
        <v>16</v>
      </c>
      <c r="H486" s="70">
        <f>H487</f>
        <v>0.53</v>
      </c>
    </row>
    <row r="487" spans="1:9" ht="25.5">
      <c r="A487" s="35"/>
      <c r="B487" s="25"/>
      <c r="C487" s="14"/>
      <c r="D487" s="30" t="s">
        <v>629</v>
      </c>
      <c r="E487" s="176" t="s">
        <v>628</v>
      </c>
      <c r="F487" s="177"/>
      <c r="G487" s="31" t="s">
        <v>16</v>
      </c>
      <c r="H487" s="71">
        <f>ROUND(F488,2)</f>
        <v>0.53</v>
      </c>
    </row>
    <row r="488" spans="1:9" ht="12.75" customHeight="1">
      <c r="A488" s="35"/>
      <c r="B488" s="25"/>
      <c r="C488" s="26"/>
      <c r="D488" s="13"/>
      <c r="E488" s="8" t="s">
        <v>630</v>
      </c>
      <c r="F488" s="168">
        <f xml:space="preserve"> (302.57+230.82)/1000</f>
        <v>0.53339000000000003</v>
      </c>
      <c r="G488" s="31"/>
      <c r="H488" s="71"/>
    </row>
    <row r="489" spans="1:9" ht="25.5">
      <c r="A489" s="10">
        <f>MAX(A$2:A488)+1</f>
        <v>89</v>
      </c>
      <c r="B489" s="33" t="s">
        <v>60</v>
      </c>
      <c r="C489" s="11" t="s">
        <v>40</v>
      </c>
      <c r="D489" s="12"/>
      <c r="E489" s="171" t="s">
        <v>41</v>
      </c>
      <c r="F489" s="171"/>
      <c r="G489" s="29" t="s">
        <v>10</v>
      </c>
      <c r="H489" s="70">
        <f>H490</f>
        <v>2.56</v>
      </c>
    </row>
    <row r="490" spans="1:9" ht="25.5">
      <c r="A490" s="10"/>
      <c r="B490" s="33"/>
      <c r="C490" s="11"/>
      <c r="D490" s="32" t="s">
        <v>96</v>
      </c>
      <c r="E490" s="194" t="s">
        <v>97</v>
      </c>
      <c r="F490" s="193"/>
      <c r="G490" s="37" t="s">
        <v>10</v>
      </c>
      <c r="H490" s="71">
        <f>ROUND(F491,2)</f>
        <v>2.56</v>
      </c>
    </row>
    <row r="491" spans="1:9" ht="12.75" customHeight="1">
      <c r="A491" s="35"/>
      <c r="B491" s="25"/>
      <c r="C491" s="26"/>
      <c r="D491" s="13"/>
      <c r="E491" s="8" t="s">
        <v>597</v>
      </c>
      <c r="F491" s="168">
        <f>(0.42+0.46+0.4+0.5+0.45)*1.15</f>
        <v>2.5644999999999998</v>
      </c>
      <c r="G491" s="31"/>
      <c r="H491" s="71"/>
    </row>
    <row r="492" spans="1:9" ht="25.5">
      <c r="A492" s="9">
        <f>MAX(A$2:A491)+1</f>
        <v>90</v>
      </c>
      <c r="B492" s="33" t="s">
        <v>60</v>
      </c>
      <c r="C492" s="11" t="s">
        <v>42</v>
      </c>
      <c r="D492" s="12"/>
      <c r="E492" s="171" t="s">
        <v>43</v>
      </c>
      <c r="F492" s="171"/>
      <c r="G492" s="29" t="s">
        <v>12</v>
      </c>
      <c r="H492" s="70">
        <f>H493</f>
        <v>4.46</v>
      </c>
    </row>
    <row r="493" spans="1:9" ht="25.5">
      <c r="A493" s="10"/>
      <c r="B493" s="27"/>
      <c r="C493" s="14"/>
      <c r="D493" s="13" t="s">
        <v>44</v>
      </c>
      <c r="E493" s="176" t="s">
        <v>45</v>
      </c>
      <c r="F493" s="176"/>
      <c r="G493" s="31" t="s">
        <v>12</v>
      </c>
      <c r="H493" s="71">
        <f>ROUND(F494,2)</f>
        <v>4.46</v>
      </c>
    </row>
    <row r="494" spans="1:9">
      <c r="A494" s="10"/>
      <c r="B494" s="27"/>
      <c r="C494" s="26"/>
      <c r="D494" s="20"/>
      <c r="E494" s="8" t="s">
        <v>598</v>
      </c>
      <c r="F494" s="168">
        <f>(0.42+0.46+0.4+0.5+0.45)*2</f>
        <v>4.46</v>
      </c>
      <c r="G494" s="43"/>
      <c r="H494" s="70"/>
    </row>
    <row r="495" spans="1:9" ht="15">
      <c r="A495" s="278">
        <f>MAX(A$2:A494)+1</f>
        <v>91</v>
      </c>
      <c r="B495" s="264" t="s">
        <v>60</v>
      </c>
      <c r="C495" s="253" t="s">
        <v>823</v>
      </c>
      <c r="D495" s="240"/>
      <c r="E495" s="254" t="s">
        <v>824</v>
      </c>
      <c r="F495" s="255"/>
      <c r="G495" s="256" t="s">
        <v>10</v>
      </c>
      <c r="H495" s="257">
        <f>H496</f>
        <v>9.19</v>
      </c>
      <c r="I495" s="228" t="s">
        <v>840</v>
      </c>
    </row>
    <row r="496" spans="1:9" ht="12.75" customHeight="1">
      <c r="A496" s="279"/>
      <c r="B496" s="55"/>
      <c r="C496" s="241"/>
      <c r="D496" s="260" t="s">
        <v>825</v>
      </c>
      <c r="E496" s="261" t="s">
        <v>826</v>
      </c>
      <c r="F496" s="262"/>
      <c r="G496" s="263" t="s">
        <v>10</v>
      </c>
      <c r="H496" s="117">
        <f>ROUND(F499,2)</f>
        <v>9.19</v>
      </c>
      <c r="I496" s="228"/>
    </row>
    <row r="497" spans="1:9">
      <c r="A497" s="279"/>
      <c r="B497" s="55"/>
      <c r="C497" s="56"/>
      <c r="D497" s="127"/>
      <c r="E497" s="245" t="s">
        <v>827</v>
      </c>
      <c r="F497" s="246">
        <f>0.68*15.65*0.15</f>
        <v>1.5963000000000001</v>
      </c>
      <c r="G497" s="272"/>
      <c r="H497" s="257"/>
      <c r="I497" s="228"/>
    </row>
    <row r="498" spans="1:9" ht="25.5">
      <c r="A498" s="279"/>
      <c r="B498" s="55"/>
      <c r="C498" s="56"/>
      <c r="D498" s="127"/>
      <c r="E498" s="245" t="s">
        <v>829</v>
      </c>
      <c r="F498" s="247">
        <f>(1.5*(149+102)*0.1+1.5*(10.2+7.1)*0.5)*0.15</f>
        <v>7.59375</v>
      </c>
      <c r="G498" s="272"/>
      <c r="H498" s="257"/>
      <c r="I498" s="228"/>
    </row>
    <row r="499" spans="1:9">
      <c r="A499" s="279"/>
      <c r="B499" s="55"/>
      <c r="C499" s="56"/>
      <c r="D499" s="127"/>
      <c r="E499" s="248" t="s">
        <v>454</v>
      </c>
      <c r="F499" s="246">
        <f>F497+F498</f>
        <v>9.1900499999999994</v>
      </c>
      <c r="G499" s="272"/>
      <c r="H499" s="257"/>
      <c r="I499" s="228"/>
    </row>
    <row r="500" spans="1:9" ht="15">
      <c r="A500" s="9">
        <f>MAX(A$2:A497)+1</f>
        <v>92</v>
      </c>
      <c r="B500" s="33" t="s">
        <v>60</v>
      </c>
      <c r="C500" s="11" t="s">
        <v>323</v>
      </c>
      <c r="D500" s="28"/>
      <c r="E500" s="171" t="s">
        <v>325</v>
      </c>
      <c r="F500" s="172"/>
      <c r="G500" s="29" t="s">
        <v>10</v>
      </c>
      <c r="H500" s="70">
        <f>H501</f>
        <v>2.68</v>
      </c>
    </row>
    <row r="501" spans="1:9" ht="12.75" customHeight="1">
      <c r="A501" s="10"/>
      <c r="B501" s="27"/>
      <c r="C501" s="14"/>
      <c r="D501" s="30" t="s">
        <v>324</v>
      </c>
      <c r="E501" s="176" t="s">
        <v>326</v>
      </c>
      <c r="F501" s="177"/>
      <c r="G501" s="31" t="s">
        <v>10</v>
      </c>
      <c r="H501" s="71">
        <f>ROUND(F502,2)</f>
        <v>2.68</v>
      </c>
    </row>
    <row r="502" spans="1:9">
      <c r="A502" s="10"/>
      <c r="B502" s="27"/>
      <c r="C502" s="26"/>
      <c r="D502" s="20"/>
      <c r="E502" s="8" t="s">
        <v>327</v>
      </c>
      <c r="F502" s="168">
        <f>(0.4+0.46+0.42+0.45+0.5)*1.2</f>
        <v>2.6759999999999997</v>
      </c>
      <c r="G502" s="43"/>
      <c r="H502" s="70"/>
    </row>
    <row r="503" spans="1:9" ht="12.75" customHeight="1">
      <c r="A503" s="278">
        <f>MAX(A$2:A502)+1</f>
        <v>93</v>
      </c>
      <c r="B503" s="264" t="s">
        <v>60</v>
      </c>
      <c r="C503" s="253" t="s">
        <v>64</v>
      </c>
      <c r="D503" s="240"/>
      <c r="E503" s="254" t="s">
        <v>65</v>
      </c>
      <c r="F503" s="255"/>
      <c r="G503" s="256" t="s">
        <v>12</v>
      </c>
      <c r="H503" s="257">
        <f>H504</f>
        <v>61.27</v>
      </c>
      <c r="I503" s="228"/>
    </row>
    <row r="504" spans="1:9" ht="25.5">
      <c r="A504" s="279"/>
      <c r="B504" s="280"/>
      <c r="C504" s="241"/>
      <c r="D504" s="260" t="s">
        <v>66</v>
      </c>
      <c r="E504" s="261" t="s">
        <v>67</v>
      </c>
      <c r="F504" s="262"/>
      <c r="G504" s="263" t="s">
        <v>12</v>
      </c>
      <c r="H504" s="117">
        <f>ROUND(F507,2)</f>
        <v>61.27</v>
      </c>
      <c r="I504" s="228"/>
    </row>
    <row r="505" spans="1:9" ht="12.75" customHeight="1">
      <c r="A505" s="10"/>
      <c r="B505" s="25"/>
      <c r="C505" s="26"/>
      <c r="D505" s="21"/>
      <c r="E505" s="245" t="s">
        <v>822</v>
      </c>
      <c r="F505" s="246">
        <f>0.68*15.65</f>
        <v>10.642000000000001</v>
      </c>
      <c r="G505" s="43"/>
      <c r="H505" s="70"/>
      <c r="I505" s="228"/>
    </row>
    <row r="506" spans="1:9" ht="25.5">
      <c r="A506" s="10"/>
      <c r="B506" s="25"/>
      <c r="C506" s="26"/>
      <c r="D506" s="21"/>
      <c r="E506" s="8" t="s">
        <v>472</v>
      </c>
      <c r="F506" s="169">
        <f>1.5*(149+102)*0.1+1.5*(10.2+7.1)*0.5</f>
        <v>50.625</v>
      </c>
      <c r="G506" s="43"/>
      <c r="H506" s="70"/>
      <c r="I506" s="228"/>
    </row>
    <row r="507" spans="1:9">
      <c r="A507" s="10"/>
      <c r="B507" s="25"/>
      <c r="C507" s="26"/>
      <c r="D507" s="21"/>
      <c r="E507" s="248" t="s">
        <v>454</v>
      </c>
      <c r="F507" s="246">
        <f>SUM(F505:F506)</f>
        <v>61.267000000000003</v>
      </c>
      <c r="G507" s="43"/>
      <c r="H507" s="70"/>
      <c r="I507" s="228"/>
    </row>
    <row r="508" spans="1:9" ht="15">
      <c r="A508" s="44"/>
      <c r="B508" s="49" t="s">
        <v>536</v>
      </c>
      <c r="C508" s="49"/>
      <c r="D508" s="50"/>
      <c r="E508" s="189" t="s">
        <v>537</v>
      </c>
      <c r="F508" s="167"/>
      <c r="G508" s="47"/>
      <c r="H508" s="106"/>
    </row>
    <row r="509" spans="1:9" ht="15">
      <c r="A509" s="9">
        <f>MAX(A$2:A504)+1</f>
        <v>94</v>
      </c>
      <c r="B509" s="33" t="s">
        <v>536</v>
      </c>
      <c r="C509" s="11" t="s">
        <v>538</v>
      </c>
      <c r="D509" s="28"/>
      <c r="E509" s="171" t="s">
        <v>539</v>
      </c>
      <c r="F509" s="172"/>
      <c r="G509" s="29" t="s">
        <v>13</v>
      </c>
      <c r="H509" s="70">
        <f>H510</f>
        <v>20</v>
      </c>
    </row>
    <row r="510" spans="1:9">
      <c r="A510" s="10"/>
      <c r="B510" s="25"/>
      <c r="C510" s="14"/>
      <c r="D510" s="30" t="s">
        <v>538</v>
      </c>
      <c r="E510" s="176" t="s">
        <v>539</v>
      </c>
      <c r="F510" s="177"/>
      <c r="G510" s="31" t="s">
        <v>13</v>
      </c>
      <c r="H510" s="71">
        <f>ROUND(F511,2)</f>
        <v>20</v>
      </c>
    </row>
    <row r="511" spans="1:9">
      <c r="A511" s="10"/>
      <c r="B511" s="25"/>
      <c r="C511" s="26"/>
      <c r="D511" s="21"/>
      <c r="E511" s="8" t="s">
        <v>534</v>
      </c>
      <c r="F511" s="168">
        <v>20</v>
      </c>
      <c r="G511" s="43"/>
      <c r="H511" s="70"/>
    </row>
    <row r="512" spans="1:9" ht="15">
      <c r="A512" s="44"/>
      <c r="B512" s="49" t="s">
        <v>413</v>
      </c>
      <c r="C512" s="49"/>
      <c r="D512" s="50"/>
      <c r="E512" s="189" t="s">
        <v>414</v>
      </c>
      <c r="F512" s="167"/>
      <c r="G512" s="47"/>
      <c r="H512" s="106"/>
    </row>
    <row r="513" spans="1:8" ht="25.5">
      <c r="A513" s="9">
        <f>MAX(A$2:A510)+1</f>
        <v>95</v>
      </c>
      <c r="B513" s="22" t="s">
        <v>413</v>
      </c>
      <c r="C513" s="11" t="s">
        <v>508</v>
      </c>
      <c r="D513" s="28"/>
      <c r="E513" s="171" t="s">
        <v>509</v>
      </c>
      <c r="F513" s="172"/>
      <c r="G513" s="29" t="s">
        <v>12</v>
      </c>
      <c r="H513" s="70">
        <f>H514+H517</f>
        <v>204.95999999999998</v>
      </c>
    </row>
    <row r="514" spans="1:8" ht="25.5">
      <c r="A514" s="44"/>
      <c r="B514" s="51"/>
      <c r="C514" s="14"/>
      <c r="D514" s="30" t="s">
        <v>510</v>
      </c>
      <c r="E514" s="176" t="s">
        <v>511</v>
      </c>
      <c r="F514" s="177"/>
      <c r="G514" s="31" t="s">
        <v>12</v>
      </c>
      <c r="H514" s="71">
        <f>ROUND(F516,2)</f>
        <v>172.2</v>
      </c>
    </row>
    <row r="515" spans="1:8" ht="12.75" customHeight="1">
      <c r="A515" s="10"/>
      <c r="B515" s="25"/>
      <c r="C515" s="26"/>
      <c r="D515" s="21"/>
      <c r="E515" s="8" t="s">
        <v>718</v>
      </c>
      <c r="F515" s="168"/>
      <c r="G515" s="43"/>
      <c r="H515" s="70"/>
    </row>
    <row r="516" spans="1:8" ht="25.5">
      <c r="A516" s="10"/>
      <c r="B516" s="25"/>
      <c r="C516" s="26"/>
      <c r="D516" s="21"/>
      <c r="E516" s="8" t="s">
        <v>594</v>
      </c>
      <c r="F516" s="168">
        <f>((11.15*7)+(0.32*11.15)+(0.32*7*2))*2</f>
        <v>172.196</v>
      </c>
      <c r="G516" s="43"/>
      <c r="H516" s="70"/>
    </row>
    <row r="517" spans="1:8" ht="12.75" customHeight="1">
      <c r="A517" s="10"/>
      <c r="B517" s="27"/>
      <c r="C517" s="26"/>
      <c r="D517" s="30" t="s">
        <v>513</v>
      </c>
      <c r="E517" s="176" t="s">
        <v>514</v>
      </c>
      <c r="F517" s="177"/>
      <c r="G517" s="31" t="s">
        <v>12</v>
      </c>
      <c r="H517" s="71">
        <f>ROUND(F519,2)</f>
        <v>32.76</v>
      </c>
    </row>
    <row r="518" spans="1:8" ht="12.75" customHeight="1">
      <c r="A518" s="10"/>
      <c r="B518" s="27"/>
      <c r="C518" s="26"/>
      <c r="D518" s="13"/>
      <c r="E518" s="8" t="s">
        <v>512</v>
      </c>
      <c r="F518" s="177"/>
      <c r="G518" s="31"/>
      <c r="H518" s="71"/>
    </row>
    <row r="519" spans="1:8">
      <c r="A519" s="10"/>
      <c r="B519" s="27"/>
      <c r="C519" s="26"/>
      <c r="D519" s="21"/>
      <c r="E519" s="8" t="s">
        <v>595</v>
      </c>
      <c r="F519" s="168">
        <f>(0.5+0.424+0.51)*11.15*2+0.195*4</f>
        <v>32.758200000000002</v>
      </c>
      <c r="G519" s="43"/>
      <c r="H519" s="70"/>
    </row>
    <row r="520" spans="1:8" ht="12.75" customHeight="1">
      <c r="A520" s="9">
        <f>MAX(A$2:A516)+1</f>
        <v>96</v>
      </c>
      <c r="B520" s="22" t="s">
        <v>413</v>
      </c>
      <c r="C520" s="11" t="s">
        <v>415</v>
      </c>
      <c r="D520" s="28"/>
      <c r="E520" s="171" t="s">
        <v>416</v>
      </c>
      <c r="F520" s="172"/>
      <c r="G520" s="29" t="s">
        <v>12</v>
      </c>
      <c r="H520" s="70">
        <f>H521+H523</f>
        <v>9103.7999999999993</v>
      </c>
    </row>
    <row r="521" spans="1:8" ht="25.5">
      <c r="A521" s="10"/>
      <c r="B521" s="25"/>
      <c r="C521" s="14"/>
      <c r="D521" s="30" t="s">
        <v>417</v>
      </c>
      <c r="E521" s="176" t="s">
        <v>418</v>
      </c>
      <c r="F521" s="177"/>
      <c r="G521" s="31" t="s">
        <v>12</v>
      </c>
      <c r="H521" s="71">
        <f>ROUND(F522,2)</f>
        <v>9081.5</v>
      </c>
    </row>
    <row r="522" spans="1:8">
      <c r="A522" s="10"/>
      <c r="B522" s="25"/>
      <c r="C522" s="26"/>
      <c r="D522" s="21"/>
      <c r="E522" s="8" t="s">
        <v>783</v>
      </c>
      <c r="F522" s="168">
        <v>9081.5</v>
      </c>
      <c r="G522" s="43"/>
      <c r="H522" s="70"/>
    </row>
    <row r="523" spans="1:8" ht="25.5">
      <c r="A523" s="10"/>
      <c r="B523" s="25"/>
      <c r="C523" s="26"/>
      <c r="D523" s="30" t="s">
        <v>515</v>
      </c>
      <c r="E523" s="176" t="s">
        <v>516</v>
      </c>
      <c r="F523" s="177"/>
      <c r="G523" s="31" t="s">
        <v>12</v>
      </c>
      <c r="H523" s="71">
        <f>ROUND(F524,2)</f>
        <v>22.3</v>
      </c>
    </row>
    <row r="524" spans="1:8">
      <c r="A524" s="10"/>
      <c r="B524" s="25"/>
      <c r="C524" s="26"/>
      <c r="D524" s="21"/>
      <c r="E524" s="8" t="s">
        <v>517</v>
      </c>
      <c r="F524" s="168">
        <f>11.15*1*2</f>
        <v>22.3</v>
      </c>
      <c r="G524" s="43"/>
      <c r="H524" s="70"/>
    </row>
    <row r="525" spans="1:8" ht="15">
      <c r="A525" s="9">
        <f>MAX(A$2:A521)+1</f>
        <v>97</v>
      </c>
      <c r="B525" s="132" t="s">
        <v>413</v>
      </c>
      <c r="C525" s="11" t="s">
        <v>731</v>
      </c>
      <c r="D525" s="133"/>
      <c r="E525" s="134" t="s">
        <v>732</v>
      </c>
      <c r="F525" s="174"/>
      <c r="G525" s="135" t="s">
        <v>12</v>
      </c>
      <c r="H525" s="83">
        <f>H526</f>
        <v>10.24</v>
      </c>
    </row>
    <row r="526" spans="1:8" ht="25.5">
      <c r="A526" s="10"/>
      <c r="B526" s="110"/>
      <c r="C526" s="28"/>
      <c r="D526" s="97" t="s">
        <v>733</v>
      </c>
      <c r="E526" s="136" t="s">
        <v>734</v>
      </c>
      <c r="F526" s="174"/>
      <c r="G526" s="111" t="s">
        <v>12</v>
      </c>
      <c r="H526" s="87">
        <f>ROUND(F528,2)</f>
        <v>10.24</v>
      </c>
    </row>
    <row r="527" spans="1:8">
      <c r="A527" s="10"/>
      <c r="B527" s="25"/>
      <c r="C527" s="26"/>
      <c r="D527" s="21"/>
      <c r="E527" s="8" t="s">
        <v>735</v>
      </c>
      <c r="F527" s="168"/>
      <c r="G527" s="43"/>
      <c r="H527" s="70"/>
    </row>
    <row r="528" spans="1:8">
      <c r="A528" s="10"/>
      <c r="B528" s="25"/>
      <c r="C528" s="26"/>
      <c r="D528" s="21"/>
      <c r="E528" s="8" t="s">
        <v>752</v>
      </c>
      <c r="F528" s="168">
        <f>2*(0.125+0.05)*1.33*22</f>
        <v>10.241</v>
      </c>
      <c r="G528" s="43"/>
      <c r="H528" s="70"/>
    </row>
    <row r="529" spans="1:8" ht="15">
      <c r="A529" s="44"/>
      <c r="B529" s="49" t="s">
        <v>554</v>
      </c>
      <c r="C529" s="49"/>
      <c r="D529" s="50"/>
      <c r="E529" s="189" t="s">
        <v>555</v>
      </c>
      <c r="F529" s="167"/>
      <c r="G529" s="47"/>
      <c r="H529" s="106"/>
    </row>
    <row r="530" spans="1:8" ht="25.5">
      <c r="A530" s="93">
        <f>MAX(A$2:A529)+1</f>
        <v>98</v>
      </c>
      <c r="B530" s="82" t="s">
        <v>554</v>
      </c>
      <c r="C530" s="11" t="s">
        <v>664</v>
      </c>
      <c r="D530" s="28"/>
      <c r="E530" s="171" t="s">
        <v>665</v>
      </c>
      <c r="F530" s="172"/>
      <c r="G530" s="29" t="s">
        <v>10</v>
      </c>
      <c r="H530" s="83">
        <f>H531</f>
        <v>3.52</v>
      </c>
    </row>
    <row r="531" spans="1:8" ht="25.5">
      <c r="A531" s="93"/>
      <c r="B531" s="110"/>
      <c r="C531" s="112"/>
      <c r="D531" s="30" t="s">
        <v>666</v>
      </c>
      <c r="E531" s="176" t="s">
        <v>667</v>
      </c>
      <c r="F531" s="177"/>
      <c r="G531" s="31" t="s">
        <v>10</v>
      </c>
      <c r="H531" s="87">
        <f>ROUND(F533,2)</f>
        <v>3.52</v>
      </c>
    </row>
    <row r="532" spans="1:8">
      <c r="A532" s="72"/>
      <c r="B532" s="27"/>
      <c r="C532" s="26"/>
      <c r="D532" s="97"/>
      <c r="E532" s="100" t="s">
        <v>668</v>
      </c>
      <c r="F532" s="168"/>
      <c r="G532" s="31"/>
      <c r="H532" s="71"/>
    </row>
    <row r="533" spans="1:8">
      <c r="A533" s="10"/>
      <c r="B533" s="25"/>
      <c r="C533" s="26"/>
      <c r="D533" s="21"/>
      <c r="E533" s="8" t="s">
        <v>702</v>
      </c>
      <c r="F533" s="168">
        <f>1.1*1.6*0.5*4</f>
        <v>3.5200000000000005</v>
      </c>
      <c r="G533" s="43"/>
      <c r="H533" s="70"/>
    </row>
    <row r="534" spans="1:8" ht="25.5">
      <c r="A534" s="93">
        <f>MAX(A$2:A533)+1</f>
        <v>99</v>
      </c>
      <c r="B534" s="22" t="s">
        <v>554</v>
      </c>
      <c r="C534" s="11" t="s">
        <v>556</v>
      </c>
      <c r="D534" s="28"/>
      <c r="E534" s="171" t="s">
        <v>557</v>
      </c>
      <c r="F534" s="172"/>
      <c r="G534" s="29" t="s">
        <v>12</v>
      </c>
      <c r="H534" s="70">
        <f>H535</f>
        <v>238.09</v>
      </c>
    </row>
    <row r="535" spans="1:8" ht="25.5">
      <c r="A535" s="10"/>
      <c r="B535" s="25"/>
      <c r="C535" s="14"/>
      <c r="D535" s="30" t="s">
        <v>558</v>
      </c>
      <c r="E535" s="176" t="s">
        <v>559</v>
      </c>
      <c r="F535" s="177"/>
      <c r="G535" s="31" t="s">
        <v>12</v>
      </c>
      <c r="H535" s="71">
        <f>ROUND(F538,2)</f>
        <v>238.09</v>
      </c>
    </row>
    <row r="536" spans="1:8">
      <c r="A536" s="10"/>
      <c r="B536" s="25"/>
      <c r="C536" s="26"/>
      <c r="D536" s="21"/>
      <c r="E536" s="8" t="s">
        <v>560</v>
      </c>
      <c r="F536" s="168">
        <f>188.41*1.2</f>
        <v>226.09199999999998</v>
      </c>
      <c r="G536" s="43"/>
      <c r="H536" s="70"/>
    </row>
    <row r="537" spans="1:8">
      <c r="A537" s="10"/>
      <c r="B537" s="27"/>
      <c r="C537" s="26"/>
      <c r="D537" s="21"/>
      <c r="E537" s="8" t="s">
        <v>703</v>
      </c>
      <c r="F537" s="169">
        <f>1.5*2*4</f>
        <v>12</v>
      </c>
      <c r="G537" s="43"/>
      <c r="H537" s="70"/>
    </row>
    <row r="538" spans="1:8">
      <c r="A538" s="10"/>
      <c r="B538" s="27"/>
      <c r="C538" s="26"/>
      <c r="D538" s="21"/>
      <c r="E538" s="170" t="s">
        <v>454</v>
      </c>
      <c r="F538" s="168">
        <f>SUM(F536:F537)</f>
        <v>238.09199999999998</v>
      </c>
      <c r="G538" s="43"/>
      <c r="H538" s="70"/>
    </row>
    <row r="539" spans="1:8" ht="25.5">
      <c r="A539" s="104">
        <f>MAX(A$2:A534)+1</f>
        <v>100</v>
      </c>
      <c r="B539" s="22" t="s">
        <v>554</v>
      </c>
      <c r="C539" s="11" t="s">
        <v>563</v>
      </c>
      <c r="D539" s="28"/>
      <c r="E539" s="171" t="s">
        <v>564</v>
      </c>
      <c r="F539" s="172"/>
      <c r="G539" s="29" t="s">
        <v>10</v>
      </c>
      <c r="H539" s="70">
        <f>H540</f>
        <v>154</v>
      </c>
    </row>
    <row r="540" spans="1:8" ht="25.5">
      <c r="A540" s="10"/>
      <c r="B540" s="103"/>
      <c r="C540" s="14"/>
      <c r="D540" s="30" t="s">
        <v>565</v>
      </c>
      <c r="E540" s="176" t="s">
        <v>566</v>
      </c>
      <c r="F540" s="177"/>
      <c r="G540" s="31" t="s">
        <v>10</v>
      </c>
      <c r="H540" s="71">
        <f>ROUND(F541,2)</f>
        <v>154</v>
      </c>
    </row>
    <row r="541" spans="1:8" ht="25.5">
      <c r="A541" s="10"/>
      <c r="B541" s="25"/>
      <c r="C541" s="26"/>
      <c r="D541" s="21"/>
      <c r="E541" s="8" t="s">
        <v>720</v>
      </c>
      <c r="F541" s="168">
        <f>2.5*616*2*0.05</f>
        <v>154</v>
      </c>
      <c r="G541" s="43"/>
      <c r="H541" s="70"/>
    </row>
    <row r="542" spans="1:8" ht="25.5">
      <c r="A542" s="104">
        <f>MAX(A$2:A539)+1</f>
        <v>101</v>
      </c>
      <c r="B542" s="22" t="s">
        <v>554</v>
      </c>
      <c r="C542" s="11" t="s">
        <v>567</v>
      </c>
      <c r="D542" s="28"/>
      <c r="E542" s="171" t="s">
        <v>568</v>
      </c>
      <c r="F542" s="172"/>
      <c r="G542" s="29" t="s">
        <v>12</v>
      </c>
      <c r="H542" s="70">
        <f>H543</f>
        <v>3080</v>
      </c>
    </row>
    <row r="543" spans="1:8" ht="38.25">
      <c r="A543" s="10"/>
      <c r="B543" s="25"/>
      <c r="C543" s="26"/>
      <c r="D543" s="30" t="s">
        <v>569</v>
      </c>
      <c r="E543" s="176" t="s">
        <v>570</v>
      </c>
      <c r="F543" s="172"/>
      <c r="G543" s="31" t="s">
        <v>12</v>
      </c>
      <c r="H543" s="71">
        <f>ROUND(F544,2)</f>
        <v>3080</v>
      </c>
    </row>
    <row r="544" spans="1:8" ht="25.5">
      <c r="A544" s="10"/>
      <c r="B544" s="25"/>
      <c r="C544" s="26"/>
      <c r="D544" s="21"/>
      <c r="E544" s="8" t="s">
        <v>721</v>
      </c>
      <c r="F544" s="168">
        <f>2.5*616*2</f>
        <v>3080</v>
      </c>
      <c r="G544" s="43"/>
      <c r="H544" s="70"/>
    </row>
    <row r="545" spans="1:8" ht="15">
      <c r="A545" s="35"/>
      <c r="B545" s="69" t="s">
        <v>653</v>
      </c>
      <c r="C545" s="26"/>
      <c r="D545" s="20"/>
      <c r="E545" s="163" t="s">
        <v>654</v>
      </c>
      <c r="F545" s="162"/>
      <c r="G545" s="43"/>
      <c r="H545" s="70"/>
    </row>
    <row r="546" spans="1:8" ht="25.5">
      <c r="A546" s="93">
        <f>MAX(A$2:A545)+1</f>
        <v>102</v>
      </c>
      <c r="B546" s="82" t="s">
        <v>653</v>
      </c>
      <c r="C546" s="11" t="s">
        <v>655</v>
      </c>
      <c r="D546" s="12"/>
      <c r="E546" s="171" t="s">
        <v>656</v>
      </c>
      <c r="F546" s="187"/>
      <c r="G546" s="29" t="s">
        <v>10</v>
      </c>
      <c r="H546" s="83">
        <f>H547</f>
        <v>8.9600000000000009</v>
      </c>
    </row>
    <row r="547" spans="1:8" ht="25.5">
      <c r="A547" s="93"/>
      <c r="B547" s="95"/>
      <c r="C547" s="101"/>
      <c r="D547" s="13" t="s">
        <v>657</v>
      </c>
      <c r="E547" s="176" t="s">
        <v>658</v>
      </c>
      <c r="F547" s="195"/>
      <c r="G547" s="37" t="s">
        <v>10</v>
      </c>
      <c r="H547" s="87">
        <f>ROUND(F549,2)</f>
        <v>8.9600000000000009</v>
      </c>
    </row>
    <row r="548" spans="1:8">
      <c r="A548" s="72"/>
      <c r="B548" s="25"/>
      <c r="C548" s="113"/>
      <c r="D548" s="97"/>
      <c r="E548" s="100" t="s">
        <v>663</v>
      </c>
      <c r="F548" s="168"/>
      <c r="G548" s="31"/>
      <c r="H548" s="71"/>
    </row>
    <row r="549" spans="1:8">
      <c r="A549" s="72"/>
      <c r="B549" s="25"/>
      <c r="C549" s="113"/>
      <c r="D549" s="97"/>
      <c r="E549" s="100" t="s">
        <v>700</v>
      </c>
      <c r="F549" s="168">
        <f>(1.6*0.4*1.3+1.6*0.25*1.1*2+1.6*0.3*1.1)*4</f>
        <v>8.9600000000000009</v>
      </c>
      <c r="G549" s="31" t="s">
        <v>631</v>
      </c>
      <c r="H549" s="71"/>
    </row>
    <row r="550" spans="1:8" ht="25.5">
      <c r="A550" s="93">
        <f>MAX(A$2:A549)+1</f>
        <v>103</v>
      </c>
      <c r="B550" s="82" t="s">
        <v>653</v>
      </c>
      <c r="C550" s="11" t="s">
        <v>659</v>
      </c>
      <c r="D550" s="28"/>
      <c r="E550" s="171" t="s">
        <v>660</v>
      </c>
      <c r="F550" s="172"/>
      <c r="G550" s="29" t="s">
        <v>12</v>
      </c>
      <c r="H550" s="70">
        <f>H551</f>
        <v>54.08</v>
      </c>
    </row>
    <row r="551" spans="1:8" ht="25.5">
      <c r="A551" s="72"/>
      <c r="B551" s="27"/>
      <c r="C551" s="14"/>
      <c r="D551" s="30" t="s">
        <v>661</v>
      </c>
      <c r="E551" s="176" t="s">
        <v>662</v>
      </c>
      <c r="F551" s="177"/>
      <c r="G551" s="31" t="s">
        <v>12</v>
      </c>
      <c r="H551" s="87">
        <f>ROUND(F552,2)</f>
        <v>54.08</v>
      </c>
    </row>
    <row r="552" spans="1:8" ht="25.5">
      <c r="A552" s="10"/>
      <c r="B552" s="27"/>
      <c r="C552" s="26"/>
      <c r="D552" s="21"/>
      <c r="E552" s="8" t="s">
        <v>701</v>
      </c>
      <c r="F552" s="168">
        <f>(1.6*1.3+1.6*1.1*2*2+1.6*1.1+1.3*1.1+1.1*1.1)*4</f>
        <v>54.080000000000005</v>
      </c>
      <c r="G552" s="43"/>
      <c r="H552" s="70"/>
    </row>
    <row r="553" spans="1:8" ht="15">
      <c r="A553" s="35"/>
      <c r="B553" s="69" t="s">
        <v>736</v>
      </c>
      <c r="C553" s="26"/>
      <c r="D553" s="20"/>
      <c r="E553" s="163" t="s">
        <v>737</v>
      </c>
      <c r="F553" s="162"/>
      <c r="G553" s="43"/>
      <c r="H553" s="70"/>
    </row>
    <row r="554" spans="1:8" ht="25.5">
      <c r="A554" s="93">
        <f>MAX(A$2:A553)+1</f>
        <v>104</v>
      </c>
      <c r="B554" s="82" t="s">
        <v>736</v>
      </c>
      <c r="C554" s="11" t="s">
        <v>738</v>
      </c>
      <c r="D554" s="12"/>
      <c r="E554" s="171" t="s">
        <v>739</v>
      </c>
      <c r="F554" s="187"/>
      <c r="G554" s="29" t="s">
        <v>12</v>
      </c>
      <c r="H554" s="83">
        <f>H555</f>
        <v>9.24</v>
      </c>
    </row>
    <row r="555" spans="1:8" ht="25.5">
      <c r="A555" s="93"/>
      <c r="B555" s="95"/>
      <c r="C555" s="101"/>
      <c r="D555" s="13" t="s">
        <v>738</v>
      </c>
      <c r="E555" s="176" t="s">
        <v>739</v>
      </c>
      <c r="F555" s="195"/>
      <c r="G555" s="37" t="s">
        <v>12</v>
      </c>
      <c r="H555" s="87">
        <f>ROUND(F557,2)</f>
        <v>9.24</v>
      </c>
    </row>
    <row r="556" spans="1:8" ht="25.5">
      <c r="A556" s="10"/>
      <c r="B556" s="27"/>
      <c r="C556" s="26"/>
      <c r="D556" s="21"/>
      <c r="E556" s="8" t="s">
        <v>740</v>
      </c>
      <c r="F556" s="168"/>
      <c r="G556" s="43"/>
      <c r="H556" s="70"/>
    </row>
    <row r="557" spans="1:8">
      <c r="A557" s="10"/>
      <c r="B557" s="27"/>
      <c r="C557" s="26"/>
      <c r="D557" s="21"/>
      <c r="E557" s="8" t="s">
        <v>751</v>
      </c>
      <c r="F557" s="168">
        <f>2*(0.06+0.01)*1*22*3</f>
        <v>9.2399999999999984</v>
      </c>
      <c r="G557" s="43"/>
      <c r="H557" s="70"/>
    </row>
    <row r="558" spans="1:8" ht="15">
      <c r="A558" s="35"/>
      <c r="B558" s="69" t="s">
        <v>460</v>
      </c>
      <c r="C558" s="26"/>
      <c r="D558" s="20"/>
      <c r="E558" s="163" t="s">
        <v>461</v>
      </c>
      <c r="F558" s="162"/>
      <c r="G558" s="43"/>
      <c r="H558" s="70"/>
    </row>
    <row r="559" spans="1:8" ht="25.5">
      <c r="A559" s="93">
        <f>MAX(A$2:A558)+1</f>
        <v>105</v>
      </c>
      <c r="B559" s="22" t="s">
        <v>460</v>
      </c>
      <c r="C559" s="11" t="s">
        <v>632</v>
      </c>
      <c r="D559" s="28"/>
      <c r="E559" s="171" t="s">
        <v>633</v>
      </c>
      <c r="F559" s="172"/>
      <c r="G559" s="29" t="s">
        <v>11</v>
      </c>
      <c r="H559" s="70">
        <f>H560</f>
        <v>13</v>
      </c>
    </row>
    <row r="560" spans="1:8" ht="25.5">
      <c r="A560" s="35"/>
      <c r="B560" s="69"/>
      <c r="C560" s="14"/>
      <c r="D560" s="30" t="s">
        <v>634</v>
      </c>
      <c r="E560" s="176" t="s">
        <v>635</v>
      </c>
      <c r="F560" s="177"/>
      <c r="G560" s="31" t="s">
        <v>11</v>
      </c>
      <c r="H560" s="71">
        <f>F563</f>
        <v>13</v>
      </c>
    </row>
    <row r="561" spans="1:8">
      <c r="A561" s="10"/>
      <c r="B561" s="27"/>
      <c r="C561" s="26"/>
      <c r="D561" s="20"/>
      <c r="E561" s="8" t="s">
        <v>676</v>
      </c>
      <c r="F561" s="168">
        <f>4+3</f>
        <v>7</v>
      </c>
      <c r="G561" s="43"/>
      <c r="H561" s="70"/>
    </row>
    <row r="562" spans="1:8">
      <c r="A562" s="10"/>
      <c r="B562" s="27"/>
      <c r="C562" s="26"/>
      <c r="D562" s="20"/>
      <c r="E562" s="8" t="s">
        <v>719</v>
      </c>
      <c r="F562" s="169">
        <f>2*3</f>
        <v>6</v>
      </c>
      <c r="G562" s="43"/>
      <c r="H562" s="70"/>
    </row>
    <row r="563" spans="1:8">
      <c r="A563" s="10"/>
      <c r="B563" s="27"/>
      <c r="C563" s="26"/>
      <c r="D563" s="20"/>
      <c r="E563" s="8"/>
      <c r="F563" s="168">
        <f>SUM(F561:F562)</f>
        <v>13</v>
      </c>
      <c r="G563" s="43"/>
      <c r="H563" s="70"/>
    </row>
    <row r="564" spans="1:8" ht="15">
      <c r="A564" s="93">
        <f>MAX(A$2:A561)+1</f>
        <v>106</v>
      </c>
      <c r="B564" s="22" t="s">
        <v>460</v>
      </c>
      <c r="C564" s="11" t="s">
        <v>636</v>
      </c>
      <c r="D564" s="28"/>
      <c r="E564" s="171" t="s">
        <v>637</v>
      </c>
      <c r="F564" s="172"/>
      <c r="G564" s="29" t="s">
        <v>12</v>
      </c>
      <c r="H564" s="70">
        <f>H565</f>
        <v>576.98</v>
      </c>
    </row>
    <row r="565" spans="1:8" ht="25.5">
      <c r="A565" s="10"/>
      <c r="B565" s="27"/>
      <c r="C565" s="26"/>
      <c r="D565" s="30" t="s">
        <v>638</v>
      </c>
      <c r="E565" s="176" t="s">
        <v>639</v>
      </c>
      <c r="F565" s="177"/>
      <c r="G565" s="31" t="s">
        <v>12</v>
      </c>
      <c r="H565" s="71">
        <f>ROUND(F569,2)</f>
        <v>576.98</v>
      </c>
    </row>
    <row r="566" spans="1:8">
      <c r="A566" s="10"/>
      <c r="B566" s="27"/>
      <c r="C566" s="26"/>
      <c r="D566" s="20"/>
      <c r="E566" s="8" t="s">
        <v>530</v>
      </c>
      <c r="F566" s="168">
        <f xml:space="preserve"> 623*0.9</f>
        <v>560.70000000000005</v>
      </c>
      <c r="G566" s="43"/>
      <c r="H566" s="70"/>
    </row>
    <row r="567" spans="1:8">
      <c r="A567" s="10"/>
      <c r="B567" s="27"/>
      <c r="C567" s="26"/>
      <c r="D567" s="20"/>
      <c r="E567" s="8" t="s">
        <v>697</v>
      </c>
      <c r="F567" s="168">
        <f>2.2*2*1.85</f>
        <v>8.14</v>
      </c>
      <c r="G567" s="43"/>
      <c r="H567" s="70"/>
    </row>
    <row r="568" spans="1:8">
      <c r="A568" s="10"/>
      <c r="B568" s="27"/>
      <c r="C568" s="26"/>
      <c r="D568" s="20"/>
      <c r="E568" s="8" t="s">
        <v>698</v>
      </c>
      <c r="F568" s="169">
        <f>2.2*2*1.85</f>
        <v>8.14</v>
      </c>
      <c r="G568" s="43"/>
      <c r="H568" s="70"/>
    </row>
    <row r="569" spans="1:8">
      <c r="A569" s="10"/>
      <c r="B569" s="27"/>
      <c r="C569" s="26"/>
      <c r="D569" s="20"/>
      <c r="E569" s="8"/>
      <c r="F569" s="168">
        <f>SUM(F566:F568)</f>
        <v>576.98</v>
      </c>
      <c r="G569" s="43"/>
      <c r="H569" s="70"/>
    </row>
    <row r="570" spans="1:8" ht="15">
      <c r="A570" s="104">
        <f>MAX(A$2:A566)+1</f>
        <v>107</v>
      </c>
      <c r="B570" s="22" t="s">
        <v>460</v>
      </c>
      <c r="C570" s="11" t="s">
        <v>462</v>
      </c>
      <c r="D570" s="28"/>
      <c r="E570" s="171" t="s">
        <v>463</v>
      </c>
      <c r="F570" s="172"/>
      <c r="G570" s="29" t="s">
        <v>12</v>
      </c>
      <c r="H570" s="70">
        <f>H571</f>
        <v>1.4</v>
      </c>
    </row>
    <row r="571" spans="1:8">
      <c r="A571" s="10"/>
      <c r="B571" s="27"/>
      <c r="C571" s="26"/>
      <c r="D571" s="30" t="s">
        <v>464</v>
      </c>
      <c r="E571" s="176" t="s">
        <v>465</v>
      </c>
      <c r="F571" s="177"/>
      <c r="G571" s="31" t="s">
        <v>12</v>
      </c>
      <c r="H571" s="71">
        <f>ROUND(F572,2)</f>
        <v>1.4</v>
      </c>
    </row>
    <row r="572" spans="1:8">
      <c r="A572" s="10"/>
      <c r="B572" s="27"/>
      <c r="C572" s="26"/>
      <c r="D572" s="20"/>
      <c r="E572" s="8" t="s">
        <v>675</v>
      </c>
      <c r="F572" s="168">
        <f>1*0.8*1.75</f>
        <v>1.4000000000000001</v>
      </c>
      <c r="G572" s="43"/>
      <c r="H572" s="70"/>
    </row>
    <row r="573" spans="1:8" ht="15">
      <c r="A573" s="44"/>
      <c r="B573" s="49" t="s">
        <v>80</v>
      </c>
      <c r="C573" s="49"/>
      <c r="D573" s="50"/>
      <c r="E573" s="189" t="s">
        <v>82</v>
      </c>
      <c r="F573" s="167"/>
      <c r="G573" s="47"/>
      <c r="H573" s="106"/>
    </row>
    <row r="574" spans="1:8" ht="25.5">
      <c r="A574" s="9">
        <f>MAX(A$2:A573)+1</f>
        <v>108</v>
      </c>
      <c r="B574" s="22" t="s">
        <v>80</v>
      </c>
      <c r="C574" s="11" t="s">
        <v>104</v>
      </c>
      <c r="D574" s="28"/>
      <c r="E574" s="171" t="s">
        <v>105</v>
      </c>
      <c r="F574" s="172"/>
      <c r="G574" s="29" t="s">
        <v>10</v>
      </c>
      <c r="H574" s="70">
        <f>H575</f>
        <v>22.96</v>
      </c>
    </row>
    <row r="575" spans="1:8" ht="25.5">
      <c r="A575" s="44"/>
      <c r="B575" s="51"/>
      <c r="C575" s="11"/>
      <c r="D575" s="30" t="s">
        <v>106</v>
      </c>
      <c r="E575" s="176" t="s">
        <v>107</v>
      </c>
      <c r="F575" s="172"/>
      <c r="G575" s="31" t="s">
        <v>10</v>
      </c>
      <c r="H575" s="71">
        <f>ROUND(F576,2)</f>
        <v>22.96</v>
      </c>
    </row>
    <row r="576" spans="1:8" ht="25.5">
      <c r="A576" s="10"/>
      <c r="B576" s="27"/>
      <c r="C576" s="26"/>
      <c r="D576" s="13"/>
      <c r="E576" s="8" t="s">
        <v>809</v>
      </c>
      <c r="F576" s="168">
        <f>35*13.12*0.05</f>
        <v>22.96</v>
      </c>
      <c r="G576" s="31"/>
      <c r="H576" s="71"/>
    </row>
    <row r="577" spans="1:13" ht="25.5">
      <c r="A577" s="9">
        <f>MAX(A$2:A576)+1</f>
        <v>109</v>
      </c>
      <c r="B577" s="22" t="s">
        <v>80</v>
      </c>
      <c r="C577" s="11" t="s">
        <v>48</v>
      </c>
      <c r="D577" s="12"/>
      <c r="E577" s="171" t="s">
        <v>49</v>
      </c>
      <c r="F577" s="171"/>
      <c r="G577" s="29" t="s">
        <v>10</v>
      </c>
      <c r="H577" s="70">
        <f>H578</f>
        <v>252.34</v>
      </c>
    </row>
    <row r="578" spans="1:13" ht="25.5">
      <c r="A578" s="10"/>
      <c r="B578" s="27"/>
      <c r="C578" s="26"/>
      <c r="D578" s="13" t="s">
        <v>48</v>
      </c>
      <c r="E578" s="176" t="s">
        <v>49</v>
      </c>
      <c r="F578" s="176"/>
      <c r="G578" s="31" t="s">
        <v>10</v>
      </c>
      <c r="H578" s="71">
        <f>ROUND(F589,2)</f>
        <v>252.34</v>
      </c>
    </row>
    <row r="579" spans="1:13">
      <c r="A579" s="10"/>
      <c r="B579" s="27"/>
      <c r="C579" s="26"/>
      <c r="D579" s="13"/>
      <c r="E579" s="8" t="s">
        <v>428</v>
      </c>
      <c r="F579" s="168"/>
      <c r="G579" s="31"/>
      <c r="H579" s="71"/>
    </row>
    <row r="580" spans="1:13" ht="25.5">
      <c r="A580" s="10"/>
      <c r="B580" s="27"/>
      <c r="C580" s="26"/>
      <c r="D580" s="13"/>
      <c r="E580" s="8" t="s">
        <v>784</v>
      </c>
      <c r="F580" s="168">
        <f>8.2*615.4*0.3*0.02</f>
        <v>30.277679999999997</v>
      </c>
      <c r="G580" s="31"/>
      <c r="H580" s="71"/>
    </row>
    <row r="581" spans="1:13" ht="25.5">
      <c r="A581" s="10"/>
      <c r="B581" s="27"/>
      <c r="C581" s="26"/>
      <c r="D581" s="13"/>
      <c r="E581" s="8" t="s">
        <v>785</v>
      </c>
      <c r="F581" s="196">
        <f>8.2*615.4*0.3*0.05</f>
        <v>75.694199999999995</v>
      </c>
      <c r="G581" s="31"/>
      <c r="H581" s="71"/>
    </row>
    <row r="582" spans="1:13" ht="25.5">
      <c r="A582" s="10"/>
      <c r="B582" s="27"/>
      <c r="C582" s="26"/>
      <c r="D582" s="13"/>
      <c r="E582" s="8" t="s">
        <v>786</v>
      </c>
      <c r="F582" s="169">
        <f>8.2*615.4*0.4*0.07</f>
        <v>141.29584</v>
      </c>
      <c r="G582" s="31"/>
      <c r="H582" s="71"/>
    </row>
    <row r="583" spans="1:13">
      <c r="A583" s="10"/>
      <c r="B583" s="27"/>
      <c r="C583" s="26"/>
      <c r="D583" s="13"/>
      <c r="E583" s="170" t="s">
        <v>215</v>
      </c>
      <c r="F583" s="196">
        <f>SUM(F580:F582)</f>
        <v>247.26772</v>
      </c>
      <c r="G583" s="31"/>
      <c r="H583" s="71"/>
      <c r="M583" s="156"/>
    </row>
    <row r="584" spans="1:13">
      <c r="A584" s="10"/>
      <c r="B584" s="27"/>
      <c r="C584" s="26"/>
      <c r="D584" s="13"/>
      <c r="E584" s="8" t="s">
        <v>429</v>
      </c>
      <c r="F584" s="196"/>
      <c r="G584" s="31"/>
      <c r="H584" s="71"/>
    </row>
    <row r="585" spans="1:13" ht="25.5">
      <c r="A585" s="10"/>
      <c r="B585" s="27"/>
      <c r="C585" s="26"/>
      <c r="D585" s="13"/>
      <c r="E585" s="8" t="s">
        <v>787</v>
      </c>
      <c r="F585" s="196">
        <f>141*0.6*0.02</f>
        <v>1.6919999999999999</v>
      </c>
      <c r="G585" s="31"/>
      <c r="H585" s="71"/>
    </row>
    <row r="586" spans="1:13" ht="25.5">
      <c r="A586" s="10"/>
      <c r="B586" s="27"/>
      <c r="C586" s="26"/>
      <c r="D586" s="13"/>
      <c r="E586" s="8" t="s">
        <v>788</v>
      </c>
      <c r="F586" s="196">
        <f xml:space="preserve"> 141*0.2*0.05</f>
        <v>1.4100000000000001</v>
      </c>
      <c r="G586" s="31"/>
      <c r="H586" s="71"/>
    </row>
    <row r="587" spans="1:13" ht="25.5">
      <c r="A587" s="10"/>
      <c r="B587" s="27"/>
      <c r="C587" s="26"/>
      <c r="D587" s="13"/>
      <c r="E587" s="8" t="s">
        <v>789</v>
      </c>
      <c r="F587" s="169">
        <f xml:space="preserve"> 141*0.2*0.07</f>
        <v>1.9740000000000004</v>
      </c>
      <c r="G587" s="31"/>
      <c r="H587" s="71"/>
    </row>
    <row r="588" spans="1:13">
      <c r="A588" s="10"/>
      <c r="B588" s="27"/>
      <c r="C588" s="26"/>
      <c r="D588" s="13"/>
      <c r="E588" s="170" t="s">
        <v>215</v>
      </c>
      <c r="F588" s="196">
        <f>SUM(F585:F587)</f>
        <v>5.0760000000000005</v>
      </c>
      <c r="G588" s="31"/>
      <c r="H588" s="71"/>
      <c r="M588" s="156"/>
    </row>
    <row r="589" spans="1:13">
      <c r="A589" s="10"/>
      <c r="B589" s="27"/>
      <c r="C589" s="26"/>
      <c r="D589" s="13"/>
      <c r="E589" s="170" t="s">
        <v>454</v>
      </c>
      <c r="F589" s="196">
        <f>F583+F588</f>
        <v>252.34371999999999</v>
      </c>
      <c r="G589" s="31"/>
      <c r="H589" s="71"/>
    </row>
    <row r="590" spans="1:13" ht="25.5">
      <c r="A590" s="9">
        <f>MAX(A$2:A589)+1</f>
        <v>110</v>
      </c>
      <c r="B590" s="22" t="s">
        <v>80</v>
      </c>
      <c r="C590" s="11" t="s">
        <v>46</v>
      </c>
      <c r="D590" s="12"/>
      <c r="E590" s="171" t="s">
        <v>47</v>
      </c>
      <c r="F590" s="171"/>
      <c r="G590" s="29" t="s">
        <v>10</v>
      </c>
      <c r="H590" s="70">
        <f>H591</f>
        <v>12.17</v>
      </c>
    </row>
    <row r="591" spans="1:13" ht="25.5">
      <c r="A591" s="10"/>
      <c r="B591" s="27"/>
      <c r="C591" s="26"/>
      <c r="D591" s="13" t="s">
        <v>46</v>
      </c>
      <c r="E591" s="176" t="s">
        <v>47</v>
      </c>
      <c r="F591" s="176"/>
      <c r="G591" s="31" t="s">
        <v>10</v>
      </c>
      <c r="H591" s="71">
        <f>ROUND(F596,2)</f>
        <v>12.17</v>
      </c>
    </row>
    <row r="592" spans="1:13" ht="12.75" customHeight="1">
      <c r="A592" s="10"/>
      <c r="B592" s="27"/>
      <c r="C592" s="26"/>
      <c r="D592" s="13"/>
      <c r="E592" s="8" t="s">
        <v>431</v>
      </c>
      <c r="F592" s="168"/>
      <c r="G592" s="31"/>
      <c r="H592" s="71"/>
    </row>
    <row r="593" spans="1:13" ht="12.75" customHeight="1">
      <c r="A593" s="10"/>
      <c r="B593" s="27"/>
      <c r="C593" s="26"/>
      <c r="D593" s="13"/>
      <c r="E593" s="8" t="s">
        <v>790</v>
      </c>
      <c r="F593" s="168">
        <f>338*0.6*0.02</f>
        <v>4.056</v>
      </c>
      <c r="G593" s="31"/>
      <c r="H593" s="71"/>
    </row>
    <row r="594" spans="1:13">
      <c r="A594" s="10"/>
      <c r="B594" s="27"/>
      <c r="C594" s="26"/>
      <c r="D594" s="20"/>
      <c r="E594" s="8" t="s">
        <v>791</v>
      </c>
      <c r="F594" s="168">
        <f>338*0.2*0.05</f>
        <v>3.3800000000000008</v>
      </c>
      <c r="G594" s="43"/>
      <c r="H594" s="70"/>
    </row>
    <row r="595" spans="1:13">
      <c r="A595" s="10"/>
      <c r="B595" s="27"/>
      <c r="C595" s="26"/>
      <c r="D595" s="20"/>
      <c r="E595" s="8" t="s">
        <v>792</v>
      </c>
      <c r="F595" s="169">
        <f>338*0.2*0.07</f>
        <v>4.7320000000000011</v>
      </c>
      <c r="G595" s="43"/>
      <c r="H595" s="70"/>
    </row>
    <row r="596" spans="1:13">
      <c r="A596" s="10"/>
      <c r="B596" s="27"/>
      <c r="C596" s="26"/>
      <c r="D596" s="20"/>
      <c r="E596" s="170" t="s">
        <v>454</v>
      </c>
      <c r="F596" s="168">
        <f>SUM(F593:F595)</f>
        <v>12.168000000000003</v>
      </c>
      <c r="G596" s="43"/>
      <c r="H596" s="70"/>
      <c r="M596" s="156"/>
    </row>
    <row r="597" spans="1:13" ht="25.5">
      <c r="A597" s="9">
        <f>MAX(A$2:A596)+1</f>
        <v>111</v>
      </c>
      <c r="B597" s="22" t="s">
        <v>80</v>
      </c>
      <c r="C597" s="11" t="s">
        <v>102</v>
      </c>
      <c r="D597" s="28"/>
      <c r="E597" s="171" t="s">
        <v>103</v>
      </c>
      <c r="F597" s="171"/>
      <c r="G597" s="29" t="s">
        <v>10</v>
      </c>
      <c r="H597" s="70">
        <f>H598</f>
        <v>203.87</v>
      </c>
    </row>
    <row r="598" spans="1:13" ht="25.5">
      <c r="A598" s="10"/>
      <c r="B598" s="27"/>
      <c r="C598" s="26"/>
      <c r="D598" s="13" t="s">
        <v>102</v>
      </c>
      <c r="E598" s="176" t="s">
        <v>103</v>
      </c>
      <c r="F598" s="176"/>
      <c r="G598" s="31" t="s">
        <v>10</v>
      </c>
      <c r="H598" s="71">
        <f>ROUND(F609,2)</f>
        <v>203.87</v>
      </c>
    </row>
    <row r="599" spans="1:13">
      <c r="A599" s="10"/>
      <c r="B599" s="27"/>
      <c r="C599" s="26"/>
      <c r="D599" s="13"/>
      <c r="E599" s="8" t="s">
        <v>430</v>
      </c>
      <c r="F599" s="176"/>
      <c r="G599" s="31"/>
      <c r="H599" s="71"/>
    </row>
    <row r="600" spans="1:13" ht="25.5">
      <c r="A600" s="10"/>
      <c r="B600" s="27"/>
      <c r="C600" s="26"/>
      <c r="D600" s="13"/>
      <c r="E600" s="8" t="s">
        <v>793</v>
      </c>
      <c r="F600" s="168">
        <f>4.87*615.4*0.6*0.02</f>
        <v>35.963975999999995</v>
      </c>
      <c r="G600" s="31"/>
      <c r="H600" s="71"/>
    </row>
    <row r="601" spans="1:13" ht="25.5">
      <c r="A601" s="10"/>
      <c r="B601" s="27"/>
      <c r="C601" s="26"/>
      <c r="D601" s="13"/>
      <c r="E601" s="8" t="s">
        <v>794</v>
      </c>
      <c r="F601" s="168">
        <f>4.87*615.4*0.2*0.05</f>
        <v>29.969980000000007</v>
      </c>
      <c r="G601" s="31"/>
      <c r="H601" s="71"/>
    </row>
    <row r="602" spans="1:13" ht="25.5">
      <c r="A602" s="10"/>
      <c r="B602" s="27"/>
      <c r="C602" s="26"/>
      <c r="D602" s="20"/>
      <c r="E602" s="8" t="s">
        <v>795</v>
      </c>
      <c r="F602" s="24">
        <f>4.87*615.4*0.2*0.07</f>
        <v>41.957972000000012</v>
      </c>
      <c r="G602" s="43"/>
      <c r="H602" s="70"/>
    </row>
    <row r="603" spans="1:13">
      <c r="A603" s="10"/>
      <c r="B603" s="27"/>
      <c r="C603" s="26"/>
      <c r="D603" s="20"/>
      <c r="E603" s="170" t="s">
        <v>215</v>
      </c>
      <c r="F603" s="168">
        <f>SUM(F600:F602)</f>
        <v>107.89192800000001</v>
      </c>
      <c r="G603" s="43"/>
      <c r="H603" s="70"/>
      <c r="M603" s="156"/>
    </row>
    <row r="604" spans="1:13">
      <c r="A604" s="10"/>
      <c r="B604" s="27"/>
      <c r="C604" s="26"/>
      <c r="D604" s="20"/>
      <c r="E604" s="8" t="s">
        <v>431</v>
      </c>
      <c r="F604" s="168"/>
      <c r="G604" s="43"/>
      <c r="H604" s="70"/>
    </row>
    <row r="605" spans="1:13" ht="25.5">
      <c r="A605" s="10"/>
      <c r="B605" s="27"/>
      <c r="C605" s="26"/>
      <c r="D605" s="20"/>
      <c r="E605" s="8" t="s">
        <v>796</v>
      </c>
      <c r="F605" s="168">
        <f>(2636+(5+1.25)*2*0.15*16)*0.6*0.02</f>
        <v>31.991999999999997</v>
      </c>
      <c r="G605" s="43"/>
      <c r="H605" s="70"/>
    </row>
    <row r="606" spans="1:13" ht="25.5">
      <c r="A606" s="10"/>
      <c r="B606" s="27"/>
      <c r="C606" s="26"/>
      <c r="D606" s="20"/>
      <c r="E606" s="8" t="s">
        <v>797</v>
      </c>
      <c r="F606" s="168">
        <f>(2636+(5+1.25)*2*0.15*16)*0.2*0.05</f>
        <v>26.660000000000004</v>
      </c>
      <c r="G606" s="43"/>
      <c r="H606" s="70"/>
    </row>
    <row r="607" spans="1:13" ht="25.5">
      <c r="A607" s="10"/>
      <c r="B607" s="27"/>
      <c r="C607" s="26"/>
      <c r="D607" s="20"/>
      <c r="E607" s="8" t="s">
        <v>798</v>
      </c>
      <c r="F607" s="169">
        <f>(2636+(5+1.25)*2*0.15*16)*0.2*0.07</f>
        <v>37.324000000000005</v>
      </c>
      <c r="G607" s="43"/>
      <c r="H607" s="70"/>
    </row>
    <row r="608" spans="1:13">
      <c r="A608" s="10"/>
      <c r="B608" s="27"/>
      <c r="C608" s="26"/>
      <c r="D608" s="20"/>
      <c r="E608" s="170" t="s">
        <v>215</v>
      </c>
      <c r="F608" s="168">
        <f>SUM(F605:F607)</f>
        <v>95.975999999999999</v>
      </c>
      <c r="G608" s="43"/>
      <c r="H608" s="70"/>
    </row>
    <row r="609" spans="1:9">
      <c r="A609" s="10"/>
      <c r="B609" s="27"/>
      <c r="C609" s="26"/>
      <c r="D609" s="20"/>
      <c r="E609" s="170" t="s">
        <v>454</v>
      </c>
      <c r="F609" s="168">
        <f>F603+F608</f>
        <v>203.86792800000001</v>
      </c>
      <c r="G609" s="43"/>
      <c r="H609" s="70"/>
    </row>
    <row r="610" spans="1:9" ht="30">
      <c r="A610" s="35"/>
      <c r="B610" s="69" t="s">
        <v>61</v>
      </c>
      <c r="C610" s="26"/>
      <c r="D610" s="20"/>
      <c r="E610" s="163" t="s">
        <v>79</v>
      </c>
      <c r="F610" s="162"/>
      <c r="G610" s="43"/>
      <c r="H610" s="70"/>
    </row>
    <row r="611" spans="1:9" ht="15">
      <c r="A611" s="9">
        <f>MAX(A$2:A610)+1</f>
        <v>112</v>
      </c>
      <c r="B611" s="22" t="s">
        <v>61</v>
      </c>
      <c r="C611" s="11" t="s">
        <v>108</v>
      </c>
      <c r="D611" s="28"/>
      <c r="E611" s="171" t="s">
        <v>109</v>
      </c>
      <c r="F611" s="172"/>
      <c r="G611" s="29" t="s">
        <v>12</v>
      </c>
      <c r="H611" s="70">
        <f>H612+H615</f>
        <v>173.18</v>
      </c>
    </row>
    <row r="612" spans="1:9" ht="15">
      <c r="A612" s="35"/>
      <c r="B612" s="45"/>
      <c r="C612" s="26"/>
      <c r="D612" s="30" t="s">
        <v>110</v>
      </c>
      <c r="E612" s="176" t="s">
        <v>111</v>
      </c>
      <c r="F612" s="177"/>
      <c r="G612" s="31" t="s">
        <v>12</v>
      </c>
      <c r="H612" s="87">
        <f>ROUND(F614,2)</f>
        <v>86.59</v>
      </c>
    </row>
    <row r="613" spans="1:9" ht="38.25">
      <c r="A613" s="35"/>
      <c r="B613" s="45"/>
      <c r="C613" s="26"/>
      <c r="D613" s="13"/>
      <c r="E613" s="245" t="s">
        <v>845</v>
      </c>
      <c r="F613" s="177"/>
      <c r="G613" s="31"/>
      <c r="H613" s="87"/>
      <c r="I613" s="228" t="s">
        <v>839</v>
      </c>
    </row>
    <row r="614" spans="1:9" ht="12.75" customHeight="1">
      <c r="A614" s="10"/>
      <c r="B614" s="27"/>
      <c r="C614" s="26"/>
      <c r="D614" s="13"/>
      <c r="E614" s="8" t="s">
        <v>644</v>
      </c>
      <c r="F614" s="16">
        <f>13.12*11*0.3*2</f>
        <v>86.591999999999999</v>
      </c>
      <c r="G614" s="31"/>
      <c r="H614" s="71"/>
    </row>
    <row r="615" spans="1:9" ht="12.75" customHeight="1">
      <c r="A615" s="35"/>
      <c r="B615" s="45"/>
      <c r="C615" s="26"/>
      <c r="D615" s="30" t="s">
        <v>112</v>
      </c>
      <c r="E615" s="176" t="s">
        <v>113</v>
      </c>
      <c r="F615" s="177"/>
      <c r="G615" s="31" t="s">
        <v>12</v>
      </c>
      <c r="H615" s="87">
        <f>ROUND(F617,2)</f>
        <v>86.59</v>
      </c>
    </row>
    <row r="616" spans="1:9" ht="38.25">
      <c r="A616" s="35"/>
      <c r="B616" s="45"/>
      <c r="C616" s="26"/>
      <c r="D616" s="13"/>
      <c r="E616" s="245" t="s">
        <v>845</v>
      </c>
      <c r="F616" s="177"/>
      <c r="G616" s="31"/>
      <c r="H616" s="87"/>
      <c r="I616" s="228" t="s">
        <v>839</v>
      </c>
    </row>
    <row r="617" spans="1:9" ht="15">
      <c r="A617" s="35"/>
      <c r="B617" s="45"/>
      <c r="C617" s="26"/>
      <c r="D617" s="21"/>
      <c r="E617" s="8" t="s">
        <v>644</v>
      </c>
      <c r="F617" s="16">
        <f>13.12*11*0.3*2</f>
        <v>86.591999999999999</v>
      </c>
      <c r="G617" s="43"/>
      <c r="H617" s="70"/>
    </row>
    <row r="618" spans="1:9" ht="15">
      <c r="A618" s="9">
        <f>MAX(A$2:A617)+1</f>
        <v>113</v>
      </c>
      <c r="B618" s="22" t="s">
        <v>61</v>
      </c>
      <c r="C618" s="11" t="s">
        <v>114</v>
      </c>
      <c r="D618" s="28"/>
      <c r="E618" s="171" t="s">
        <v>115</v>
      </c>
      <c r="F618" s="172"/>
      <c r="G618" s="29" t="s">
        <v>12</v>
      </c>
      <c r="H618" s="70">
        <f>H619</f>
        <v>86.59</v>
      </c>
    </row>
    <row r="619" spans="1:9" ht="25.5">
      <c r="A619" s="10"/>
      <c r="B619" s="27"/>
      <c r="C619" s="26"/>
      <c r="D619" s="30" t="s">
        <v>116</v>
      </c>
      <c r="E619" s="176" t="s">
        <v>117</v>
      </c>
      <c r="F619" s="177"/>
      <c r="G619" s="31" t="s">
        <v>12</v>
      </c>
      <c r="H619" s="87">
        <f>ROUND(F621,2)</f>
        <v>86.59</v>
      </c>
    </row>
    <row r="620" spans="1:9" ht="12.75" customHeight="1">
      <c r="A620" s="10"/>
      <c r="B620" s="27"/>
      <c r="C620" s="26"/>
      <c r="D620" s="20"/>
      <c r="E620" s="8" t="s">
        <v>147</v>
      </c>
      <c r="F620" s="177"/>
      <c r="G620" s="43"/>
      <c r="H620" s="70"/>
    </row>
    <row r="621" spans="1:9">
      <c r="A621" s="10"/>
      <c r="B621" s="27"/>
      <c r="C621" s="26"/>
      <c r="D621" s="20"/>
      <c r="E621" s="8" t="s">
        <v>644</v>
      </c>
      <c r="F621" s="16">
        <f>13.12*11*0.3*2</f>
        <v>86.591999999999999</v>
      </c>
      <c r="G621" s="43"/>
      <c r="H621" s="70"/>
    </row>
    <row r="622" spans="1:9" ht="15">
      <c r="A622" s="9">
        <f>MAX(A$2:A621)+1</f>
        <v>114</v>
      </c>
      <c r="B622" s="22" t="s">
        <v>61</v>
      </c>
      <c r="C622" s="11" t="s">
        <v>741</v>
      </c>
      <c r="D622" s="28"/>
      <c r="E622" s="171" t="s">
        <v>742</v>
      </c>
      <c r="F622" s="172"/>
      <c r="G622" s="29" t="s">
        <v>12</v>
      </c>
      <c r="H622" s="70">
        <f>H623</f>
        <v>9.24</v>
      </c>
    </row>
    <row r="623" spans="1:9" ht="25.5">
      <c r="A623" s="10"/>
      <c r="B623" s="27"/>
      <c r="C623" s="26"/>
      <c r="D623" s="30" t="s">
        <v>743</v>
      </c>
      <c r="E623" s="176" t="s">
        <v>744</v>
      </c>
      <c r="F623" s="177"/>
      <c r="G623" s="31" t="s">
        <v>12</v>
      </c>
      <c r="H623" s="87">
        <f>ROUND(F625,2)</f>
        <v>9.24</v>
      </c>
    </row>
    <row r="624" spans="1:9" ht="12.75" customHeight="1">
      <c r="A624" s="10"/>
      <c r="B624" s="27"/>
      <c r="C624" s="26"/>
      <c r="D624" s="20"/>
      <c r="E624" s="8" t="s">
        <v>745</v>
      </c>
      <c r="F624" s="177"/>
      <c r="G624" s="43"/>
      <c r="H624" s="70"/>
    </row>
    <row r="625" spans="1:8" ht="12.75" customHeight="1">
      <c r="A625" s="10"/>
      <c r="B625" s="27"/>
      <c r="C625" s="26"/>
      <c r="D625" s="20"/>
      <c r="E625" s="8" t="s">
        <v>751</v>
      </c>
      <c r="F625" s="16">
        <f>2*(0.06+0.01)*1*22*3</f>
        <v>9.2399999999999984</v>
      </c>
      <c r="G625" s="43"/>
      <c r="H625" s="70"/>
    </row>
    <row r="626" spans="1:8" ht="15">
      <c r="A626" s="9">
        <f>MAX(A$2:A625)+1</f>
        <v>115</v>
      </c>
      <c r="B626" s="22" t="s">
        <v>61</v>
      </c>
      <c r="C626" s="11" t="s">
        <v>746</v>
      </c>
      <c r="D626" s="28"/>
      <c r="E626" s="171" t="s">
        <v>747</v>
      </c>
      <c r="F626" s="172"/>
      <c r="G626" s="29" t="s">
        <v>12</v>
      </c>
      <c r="H626" s="70">
        <f>H627</f>
        <v>9.2399999999999984</v>
      </c>
    </row>
    <row r="627" spans="1:8" ht="25.5">
      <c r="A627" s="10"/>
      <c r="B627" s="27"/>
      <c r="C627" s="26"/>
      <c r="D627" s="30" t="s">
        <v>748</v>
      </c>
      <c r="E627" s="176" t="s">
        <v>749</v>
      </c>
      <c r="F627" s="177"/>
      <c r="G627" s="31" t="s">
        <v>12</v>
      </c>
      <c r="H627" s="87">
        <f>F629</f>
        <v>9.2399999999999984</v>
      </c>
    </row>
    <row r="628" spans="1:8" ht="12.75" customHeight="1">
      <c r="A628" s="10"/>
      <c r="B628" s="27"/>
      <c r="C628" s="26"/>
      <c r="D628" s="20"/>
      <c r="E628" s="8" t="s">
        <v>750</v>
      </c>
      <c r="F628" s="177"/>
      <c r="G628" s="43"/>
      <c r="H628" s="70"/>
    </row>
    <row r="629" spans="1:8" ht="12.75" customHeight="1">
      <c r="A629" s="10"/>
      <c r="B629" s="27"/>
      <c r="C629" s="26"/>
      <c r="D629" s="20"/>
      <c r="E629" s="8" t="s">
        <v>751</v>
      </c>
      <c r="F629" s="16">
        <f>2*(0.06+0.01)*1*22*3</f>
        <v>9.2399999999999984</v>
      </c>
      <c r="G629" s="43"/>
      <c r="H629" s="70"/>
    </row>
    <row r="630" spans="1:8" ht="15">
      <c r="A630" s="9">
        <f>MAX(A$2:A629)+1</f>
        <v>116</v>
      </c>
      <c r="B630" s="22" t="s">
        <v>61</v>
      </c>
      <c r="C630" s="11" t="s">
        <v>118</v>
      </c>
      <c r="D630" s="28"/>
      <c r="E630" s="171" t="s">
        <v>119</v>
      </c>
      <c r="F630" s="172"/>
      <c r="G630" s="29" t="s">
        <v>12</v>
      </c>
      <c r="H630" s="70">
        <f>H631</f>
        <v>99.39</v>
      </c>
    </row>
    <row r="631" spans="1:8" ht="25.5">
      <c r="A631" s="93"/>
      <c r="B631" s="95"/>
      <c r="C631" s="96"/>
      <c r="D631" s="97" t="s">
        <v>120</v>
      </c>
      <c r="E631" s="98" t="s">
        <v>121</v>
      </c>
      <c r="F631" s="195"/>
      <c r="G631" s="37" t="s">
        <v>12</v>
      </c>
      <c r="H631" s="87">
        <f>ROUND(F636,2)</f>
        <v>99.39</v>
      </c>
    </row>
    <row r="632" spans="1:8">
      <c r="A632" s="10"/>
      <c r="B632" s="27"/>
      <c r="C632" s="26"/>
      <c r="D632" s="99"/>
      <c r="E632" s="100" t="s">
        <v>486</v>
      </c>
      <c r="F632" s="168"/>
      <c r="G632" s="68"/>
      <c r="H632" s="118"/>
    </row>
    <row r="633" spans="1:8">
      <c r="A633" s="10"/>
      <c r="B633" s="27"/>
      <c r="C633" s="26"/>
      <c r="D633" s="99"/>
      <c r="E633" s="100" t="s">
        <v>487</v>
      </c>
      <c r="F633" s="168"/>
      <c r="G633" s="68"/>
      <c r="H633" s="118"/>
    </row>
    <row r="634" spans="1:8">
      <c r="A634" s="10"/>
      <c r="B634" s="27"/>
      <c r="C634" s="26"/>
      <c r="D634" s="99"/>
      <c r="E634" s="100" t="s">
        <v>488</v>
      </c>
      <c r="F634" s="168">
        <f>(616+10)*0.08</f>
        <v>50.08</v>
      </c>
      <c r="G634" s="68"/>
      <c r="H634" s="118"/>
    </row>
    <row r="635" spans="1:8">
      <c r="A635" s="10"/>
      <c r="B635" s="27"/>
      <c r="C635" s="26"/>
      <c r="D635" s="99"/>
      <c r="E635" s="100" t="s">
        <v>489</v>
      </c>
      <c r="F635" s="169">
        <f>(615.4+1)*0.08</f>
        <v>49.311999999999998</v>
      </c>
      <c r="G635" s="68"/>
      <c r="H635" s="118"/>
    </row>
    <row r="636" spans="1:8">
      <c r="A636" s="10"/>
      <c r="B636" s="27"/>
      <c r="C636" s="26"/>
      <c r="D636" s="99"/>
      <c r="E636" s="102" t="s">
        <v>454</v>
      </c>
      <c r="F636" s="168">
        <f>SUM(F634:F635)</f>
        <v>99.391999999999996</v>
      </c>
      <c r="G636" s="68"/>
      <c r="H636" s="118"/>
    </row>
    <row r="637" spans="1:8" ht="25.5">
      <c r="A637" s="9">
        <f>MAX(A$2:A636)+1</f>
        <v>117</v>
      </c>
      <c r="B637" s="82" t="s">
        <v>61</v>
      </c>
      <c r="C637" s="11" t="s">
        <v>122</v>
      </c>
      <c r="D637" s="197"/>
      <c r="E637" s="82" t="s">
        <v>123</v>
      </c>
      <c r="F637" s="187"/>
      <c r="G637" s="29" t="s">
        <v>12</v>
      </c>
      <c r="H637" s="83">
        <f>H638</f>
        <v>115.25</v>
      </c>
    </row>
    <row r="638" spans="1:8" ht="25.5">
      <c r="A638" s="93"/>
      <c r="B638" s="95"/>
      <c r="C638" s="101"/>
      <c r="D638" s="185" t="s">
        <v>124</v>
      </c>
      <c r="E638" s="98" t="s">
        <v>125</v>
      </c>
      <c r="F638" s="195"/>
      <c r="G638" s="37" t="s">
        <v>12</v>
      </c>
      <c r="H638" s="87">
        <f>ROUND(F653,2)</f>
        <v>115.25</v>
      </c>
    </row>
    <row r="639" spans="1:8">
      <c r="A639" s="10"/>
      <c r="B639" s="27"/>
      <c r="C639" s="26"/>
      <c r="D639" s="99"/>
      <c r="E639" s="100" t="s">
        <v>490</v>
      </c>
      <c r="F639" s="168"/>
      <c r="G639" s="68"/>
      <c r="H639" s="118"/>
    </row>
    <row r="640" spans="1:8">
      <c r="A640" s="10"/>
      <c r="B640" s="27"/>
      <c r="C640" s="26"/>
      <c r="D640" s="99"/>
      <c r="E640" s="100" t="s">
        <v>487</v>
      </c>
      <c r="F640" s="168"/>
      <c r="G640" s="68"/>
      <c r="H640" s="118"/>
    </row>
    <row r="641" spans="1:8">
      <c r="A641" s="10"/>
      <c r="B641" s="27"/>
      <c r="C641" s="26"/>
      <c r="D641" s="99"/>
      <c r="E641" s="100" t="s">
        <v>488</v>
      </c>
      <c r="F641" s="168">
        <f>(616+10)*0.08</f>
        <v>50.08</v>
      </c>
      <c r="G641" s="68"/>
      <c r="H641" s="118"/>
    </row>
    <row r="642" spans="1:8">
      <c r="A642" s="10"/>
      <c r="B642" s="27"/>
      <c r="C642" s="26"/>
      <c r="D642" s="99"/>
      <c r="E642" s="100" t="s">
        <v>489</v>
      </c>
      <c r="F642" s="169">
        <f>(615.4+1)*0.08</f>
        <v>49.311999999999998</v>
      </c>
      <c r="G642" s="68"/>
      <c r="H642" s="118"/>
    </row>
    <row r="643" spans="1:8">
      <c r="A643" s="10"/>
      <c r="B643" s="27"/>
      <c r="C643" s="26"/>
      <c r="D643" s="99"/>
      <c r="E643" s="102" t="s">
        <v>215</v>
      </c>
      <c r="F643" s="168">
        <f>SUM(F641:F642)</f>
        <v>99.391999999999996</v>
      </c>
      <c r="G643" s="68"/>
      <c r="H643" s="118"/>
    </row>
    <row r="644" spans="1:8">
      <c r="A644" s="10"/>
      <c r="B644" s="27"/>
      <c r="C644" s="26"/>
      <c r="D644" s="99"/>
      <c r="E644" s="100" t="s">
        <v>491</v>
      </c>
      <c r="F644" s="168"/>
      <c r="G644" s="68"/>
      <c r="H644" s="118"/>
    </row>
    <row r="645" spans="1:8">
      <c r="A645" s="10"/>
      <c r="B645" s="27"/>
      <c r="C645" s="26"/>
      <c r="D645" s="99"/>
      <c r="E645" s="100" t="s">
        <v>492</v>
      </c>
      <c r="F645" s="168">
        <f>0.96*11*2*0.02</f>
        <v>0.42239999999999994</v>
      </c>
      <c r="G645" s="68"/>
      <c r="H645" s="118"/>
    </row>
    <row r="646" spans="1:8">
      <c r="A646" s="10"/>
      <c r="B646" s="27"/>
      <c r="C646" s="26"/>
      <c r="D646" s="99"/>
      <c r="E646" s="100" t="s">
        <v>493</v>
      </c>
      <c r="F646" s="168">
        <f>1.01*11*2*0.02</f>
        <v>0.44439999999999996</v>
      </c>
      <c r="G646" s="68"/>
      <c r="H646" s="118"/>
    </row>
    <row r="647" spans="1:8">
      <c r="A647" s="10"/>
      <c r="B647" s="27"/>
      <c r="C647" s="26"/>
      <c r="D647" s="99"/>
      <c r="E647" s="100" t="s">
        <v>494</v>
      </c>
      <c r="F647" s="169">
        <f>11*11.75*0.08</f>
        <v>10.34</v>
      </c>
      <c r="G647" s="68"/>
      <c r="H647" s="118"/>
    </row>
    <row r="648" spans="1:8">
      <c r="A648" s="10"/>
      <c r="B648" s="27"/>
      <c r="C648" s="26"/>
      <c r="D648" s="99"/>
      <c r="E648" s="102" t="s">
        <v>215</v>
      </c>
      <c r="F648" s="168">
        <f>SUM(F645:F647)</f>
        <v>11.206799999999999</v>
      </c>
      <c r="G648" s="68"/>
      <c r="H648" s="118"/>
    </row>
    <row r="649" spans="1:8">
      <c r="A649" s="10"/>
      <c r="B649" s="27"/>
      <c r="C649" s="26"/>
      <c r="D649" s="99"/>
      <c r="E649" s="100" t="s">
        <v>495</v>
      </c>
      <c r="F649" s="168"/>
      <c r="G649" s="68"/>
      <c r="H649" s="118"/>
    </row>
    <row r="650" spans="1:8">
      <c r="A650" s="10"/>
      <c r="B650" s="27"/>
      <c r="C650" s="26"/>
      <c r="D650" s="99"/>
      <c r="E650" s="100" t="s">
        <v>575</v>
      </c>
      <c r="F650" s="168">
        <f>0.96*118*0.02</f>
        <v>2.2656000000000001</v>
      </c>
      <c r="G650" s="68"/>
      <c r="H650" s="118"/>
    </row>
    <row r="651" spans="1:8">
      <c r="A651" s="10"/>
      <c r="B651" s="27"/>
      <c r="C651" s="26"/>
      <c r="D651" s="99"/>
      <c r="E651" s="100" t="s">
        <v>576</v>
      </c>
      <c r="F651" s="169">
        <f>1.01*118*0.02</f>
        <v>2.3836000000000004</v>
      </c>
      <c r="G651" s="68"/>
      <c r="H651" s="118"/>
    </row>
    <row r="652" spans="1:8">
      <c r="A652" s="10"/>
      <c r="B652" s="27"/>
      <c r="C652" s="26"/>
      <c r="D652" s="99"/>
      <c r="E652" s="102" t="s">
        <v>215</v>
      </c>
      <c r="F652" s="168">
        <f>SUM(F650:F651)</f>
        <v>4.6492000000000004</v>
      </c>
      <c r="G652" s="68"/>
      <c r="H652" s="118"/>
    </row>
    <row r="653" spans="1:8">
      <c r="A653" s="10"/>
      <c r="B653" s="27"/>
      <c r="C653" s="26"/>
      <c r="D653" s="99"/>
      <c r="E653" s="102" t="s">
        <v>454</v>
      </c>
      <c r="F653" s="168">
        <f>F643+F648+F652</f>
        <v>115.24799999999999</v>
      </c>
      <c r="G653" s="68"/>
      <c r="H653" s="118"/>
    </row>
    <row r="654" spans="1:8" ht="25.5">
      <c r="A654" s="9">
        <f>MAX(A$2:A653)+1</f>
        <v>118</v>
      </c>
      <c r="B654" s="22" t="s">
        <v>61</v>
      </c>
      <c r="C654" s="11" t="s">
        <v>434</v>
      </c>
      <c r="D654" s="94"/>
      <c r="E654" s="82" t="s">
        <v>435</v>
      </c>
      <c r="F654" s="198"/>
      <c r="G654" s="66" t="s">
        <v>12</v>
      </c>
      <c r="H654" s="118">
        <f>H655</f>
        <v>8077.13</v>
      </c>
    </row>
    <row r="655" spans="1:8" ht="25.5">
      <c r="A655" s="10"/>
      <c r="B655" s="27"/>
      <c r="C655" s="26"/>
      <c r="D655" s="30" t="s">
        <v>436</v>
      </c>
      <c r="E655" s="176" t="s">
        <v>437</v>
      </c>
      <c r="F655" s="199"/>
      <c r="G655" s="67" t="s">
        <v>12</v>
      </c>
      <c r="H655" s="119">
        <f>ROUND(F657,2)</f>
        <v>8077.13</v>
      </c>
    </row>
    <row r="656" spans="1:8">
      <c r="A656" s="10"/>
      <c r="B656" s="27"/>
      <c r="C656" s="26"/>
      <c r="D656" s="20"/>
      <c r="E656" s="8" t="s">
        <v>438</v>
      </c>
      <c r="F656" s="168"/>
      <c r="G656" s="68"/>
      <c r="H656" s="118"/>
    </row>
    <row r="657" spans="1:8">
      <c r="A657" s="10"/>
      <c r="B657" s="27"/>
      <c r="C657" s="26"/>
      <c r="D657" s="20"/>
      <c r="E657" s="8" t="s">
        <v>439</v>
      </c>
      <c r="F657" s="168">
        <f>13.125*615.4</f>
        <v>8077.125</v>
      </c>
      <c r="G657" s="68"/>
      <c r="H657" s="118"/>
    </row>
    <row r="658" spans="1:8" ht="25.5">
      <c r="A658" s="9">
        <f>MAX(A$2:A657)+1</f>
        <v>119</v>
      </c>
      <c r="B658" s="22" t="s">
        <v>61</v>
      </c>
      <c r="C658" s="11" t="s">
        <v>496</v>
      </c>
      <c r="D658" s="94"/>
      <c r="E658" s="82" t="s">
        <v>497</v>
      </c>
      <c r="F658" s="198"/>
      <c r="G658" s="66" t="s">
        <v>12</v>
      </c>
      <c r="H658" s="118">
        <f>H659</f>
        <v>1017.71</v>
      </c>
    </row>
    <row r="659" spans="1:8">
      <c r="A659" s="10"/>
      <c r="B659" s="27"/>
      <c r="C659" s="26"/>
      <c r="D659" s="30" t="s">
        <v>498</v>
      </c>
      <c r="E659" s="176" t="s">
        <v>499</v>
      </c>
      <c r="F659" s="199"/>
      <c r="G659" s="67" t="s">
        <v>12</v>
      </c>
      <c r="H659" s="119">
        <f>ROUND(F662,2)</f>
        <v>1017.71</v>
      </c>
    </row>
    <row r="660" spans="1:8" ht="38.25">
      <c r="A660" s="10"/>
      <c r="B660" s="27"/>
      <c r="C660" s="26"/>
      <c r="D660" s="20"/>
      <c r="E660" s="100" t="s">
        <v>500</v>
      </c>
      <c r="F660" s="168">
        <f>0.8*(35.19+69.48+69.48+69.48+69.48+70.06+77.63+36.34+78.488+35.17+2*3)</f>
        <v>493.43839999999994</v>
      </c>
      <c r="G660" s="68"/>
      <c r="H660" s="118"/>
    </row>
    <row r="661" spans="1:8" ht="38.25">
      <c r="A661" s="10"/>
      <c r="B661" s="27"/>
      <c r="C661" s="26"/>
      <c r="D661" s="20"/>
      <c r="E661" s="100" t="s">
        <v>501</v>
      </c>
      <c r="F661" s="169">
        <f>0.85*(35.19+69.48+69.48+69.48+69.48+70.06+77.63+36.34+78.48+35.17+2*3)</f>
        <v>524.27149999999995</v>
      </c>
      <c r="G661" s="68"/>
      <c r="H661" s="118"/>
    </row>
    <row r="662" spans="1:8">
      <c r="A662" s="10"/>
      <c r="B662" s="27"/>
      <c r="C662" s="26"/>
      <c r="D662" s="20"/>
      <c r="E662" s="102" t="s">
        <v>454</v>
      </c>
      <c r="F662" s="168">
        <f>SUM(F660:F661)</f>
        <v>1017.7098999999998</v>
      </c>
      <c r="G662" s="68"/>
      <c r="H662" s="118"/>
    </row>
    <row r="663" spans="1:8" ht="15">
      <c r="A663" s="9">
        <f>MAX(A$2:A662)+1</f>
        <v>120</v>
      </c>
      <c r="B663" s="82" t="s">
        <v>61</v>
      </c>
      <c r="C663" s="11" t="s">
        <v>799</v>
      </c>
      <c r="D663" s="28"/>
      <c r="E663" s="171" t="s">
        <v>800</v>
      </c>
      <c r="F663" s="177"/>
      <c r="G663" s="29" t="s">
        <v>12</v>
      </c>
      <c r="H663" s="118">
        <f>H664</f>
        <v>11188.28</v>
      </c>
    </row>
    <row r="664" spans="1:8">
      <c r="A664" s="10"/>
      <c r="B664" s="55"/>
      <c r="C664" s="75"/>
      <c r="D664" s="144" t="s">
        <v>799</v>
      </c>
      <c r="E664" s="166" t="s">
        <v>800</v>
      </c>
      <c r="F664" s="147"/>
      <c r="G664" s="31" t="s">
        <v>12</v>
      </c>
      <c r="H664" s="119">
        <f>ROUND(F677,2)</f>
        <v>11188.28</v>
      </c>
    </row>
    <row r="665" spans="1:8">
      <c r="A665" s="10"/>
      <c r="B665" s="55"/>
      <c r="C665" s="157"/>
      <c r="D665" s="158"/>
      <c r="E665" s="8" t="s">
        <v>801</v>
      </c>
      <c r="F665" s="159"/>
      <c r="G665" s="31"/>
      <c r="H665" s="118"/>
    </row>
    <row r="666" spans="1:8">
      <c r="A666" s="10"/>
      <c r="B666" s="55"/>
      <c r="C666" s="157"/>
      <c r="D666" s="158"/>
      <c r="E666" s="8" t="s">
        <v>802</v>
      </c>
      <c r="F666" s="159"/>
      <c r="G666" s="31"/>
      <c r="H666" s="118"/>
    </row>
    <row r="667" spans="1:8">
      <c r="A667" s="10"/>
      <c r="B667" s="55"/>
      <c r="C667" s="157"/>
      <c r="D667" s="158"/>
      <c r="E667" s="8" t="s">
        <v>803</v>
      </c>
      <c r="F667" s="159"/>
      <c r="G667" s="67"/>
      <c r="H667" s="118"/>
    </row>
    <row r="668" spans="1:8">
      <c r="A668" s="10"/>
      <c r="B668" s="55"/>
      <c r="C668" s="157"/>
      <c r="D668" s="158"/>
      <c r="E668" s="8" t="s">
        <v>432</v>
      </c>
      <c r="F668" s="168">
        <f>4.87*615.4</f>
        <v>2996.998</v>
      </c>
      <c r="G668" s="67"/>
      <c r="H668" s="118"/>
    </row>
    <row r="669" spans="1:8" ht="15" customHeight="1">
      <c r="A669" s="10"/>
      <c r="B669" s="55"/>
      <c r="C669" s="157"/>
      <c r="D669" s="158"/>
      <c r="E669" s="8" t="s">
        <v>433</v>
      </c>
      <c r="F669" s="179">
        <f>(2636+(5+1.25)*2*0.15*16)</f>
        <v>2666</v>
      </c>
      <c r="G669" s="67"/>
      <c r="H669" s="118"/>
    </row>
    <row r="670" spans="1:8">
      <c r="A670" s="10"/>
      <c r="B670" s="55"/>
      <c r="C670" s="157"/>
      <c r="D670" s="158"/>
      <c r="E670" s="102" t="s">
        <v>215</v>
      </c>
      <c r="F670" s="168">
        <f>SUM(F668:F669)</f>
        <v>5662.9979999999996</v>
      </c>
      <c r="G670" s="67"/>
      <c r="H670" s="118"/>
    </row>
    <row r="671" spans="1:8">
      <c r="A671" s="10"/>
      <c r="B671" s="55"/>
      <c r="C671" s="157"/>
      <c r="D671" s="158"/>
      <c r="E671" s="8" t="s">
        <v>804</v>
      </c>
      <c r="F671" s="168"/>
      <c r="G671" s="67"/>
      <c r="H671" s="118"/>
    </row>
    <row r="672" spans="1:8">
      <c r="A672" s="10"/>
      <c r="B672" s="55"/>
      <c r="C672" s="157"/>
      <c r="D672" s="158"/>
      <c r="E672" s="8" t="s">
        <v>805</v>
      </c>
      <c r="F672" s="168">
        <f>8.2*615.4*1</f>
        <v>5046.28</v>
      </c>
      <c r="G672" s="67"/>
      <c r="H672" s="118"/>
    </row>
    <row r="673" spans="1:8">
      <c r="A673" s="10"/>
      <c r="B673" s="55"/>
      <c r="C673" s="157"/>
      <c r="D673" s="158"/>
      <c r="E673" s="8" t="s">
        <v>806</v>
      </c>
      <c r="F673" s="169">
        <f>141*1</f>
        <v>141</v>
      </c>
      <c r="G673" s="67"/>
      <c r="H673" s="118"/>
    </row>
    <row r="674" spans="1:8">
      <c r="A674" s="10"/>
      <c r="B674" s="55"/>
      <c r="C674" s="157"/>
      <c r="D674" s="158"/>
      <c r="E674" s="102" t="s">
        <v>215</v>
      </c>
      <c r="F674" s="168">
        <f>SUM(F672:F673)</f>
        <v>5187.28</v>
      </c>
      <c r="G674" s="67"/>
      <c r="H674" s="118"/>
    </row>
    <row r="675" spans="1:8">
      <c r="A675" s="10"/>
      <c r="B675" s="55"/>
      <c r="C675" s="157"/>
      <c r="D675" s="158"/>
      <c r="E675" s="8" t="s">
        <v>807</v>
      </c>
      <c r="F675" s="159"/>
      <c r="G675" s="67"/>
      <c r="H675" s="118"/>
    </row>
    <row r="676" spans="1:8">
      <c r="A676" s="10"/>
      <c r="B676" s="55"/>
      <c r="C676" s="157"/>
      <c r="D676" s="158"/>
      <c r="E676" s="8" t="s">
        <v>808</v>
      </c>
      <c r="F676" s="168">
        <f>338*1</f>
        <v>338</v>
      </c>
      <c r="G676" s="67"/>
      <c r="H676" s="118"/>
    </row>
    <row r="677" spans="1:8">
      <c r="A677" s="10"/>
      <c r="B677" s="55"/>
      <c r="C677" s="157"/>
      <c r="D677" s="158"/>
      <c r="E677" s="102" t="s">
        <v>454</v>
      </c>
      <c r="F677" s="168">
        <f>F670+F674+F676</f>
        <v>11188.277999999998</v>
      </c>
      <c r="G677" s="67"/>
      <c r="H677" s="118"/>
    </row>
    <row r="678" spans="1:8" ht="15">
      <c r="A678" s="9">
        <f>MAX(A$2:A677)+1</f>
        <v>121</v>
      </c>
      <c r="B678" s="22" t="s">
        <v>61</v>
      </c>
      <c r="C678" s="11" t="s">
        <v>640</v>
      </c>
      <c r="D678" s="28"/>
      <c r="E678" s="171" t="s">
        <v>641</v>
      </c>
      <c r="F678" s="172"/>
      <c r="G678" s="29" t="s">
        <v>12</v>
      </c>
      <c r="H678" s="118">
        <f>H679</f>
        <v>86.59</v>
      </c>
    </row>
    <row r="679" spans="1:8">
      <c r="A679" s="10"/>
      <c r="B679" s="27"/>
      <c r="C679" s="26"/>
      <c r="D679" s="30" t="s">
        <v>642</v>
      </c>
      <c r="E679" s="176" t="s">
        <v>643</v>
      </c>
      <c r="F679" s="177"/>
      <c r="G679" s="31" t="s">
        <v>12</v>
      </c>
      <c r="H679" s="119">
        <f>ROUND(F680,2)</f>
        <v>86.59</v>
      </c>
    </row>
    <row r="680" spans="1:8">
      <c r="A680" s="10"/>
      <c r="B680" s="27"/>
      <c r="C680" s="26"/>
      <c r="D680" s="20"/>
      <c r="E680" s="100" t="s">
        <v>679</v>
      </c>
      <c r="F680" s="168">
        <f>13.12*11*0.3*2</f>
        <v>86.591999999999999</v>
      </c>
      <c r="G680" s="68"/>
      <c r="H680" s="118"/>
    </row>
    <row r="681" spans="1:8">
      <c r="A681" s="10"/>
      <c r="B681" s="27"/>
      <c r="C681" s="26"/>
      <c r="D681" s="20"/>
      <c r="E681" s="102"/>
      <c r="F681" s="168"/>
      <c r="G681" s="68"/>
      <c r="H681" s="118"/>
    </row>
    <row r="682" spans="1:8">
      <c r="A682" s="10"/>
      <c r="B682" s="27"/>
      <c r="C682" s="26"/>
      <c r="D682" s="20"/>
      <c r="E682" s="102"/>
      <c r="F682" s="168"/>
      <c r="G682" s="68"/>
      <c r="H682" s="118"/>
    </row>
    <row r="683" spans="1:8" ht="16.5" thickBot="1">
      <c r="A683" s="36"/>
      <c r="B683" s="6"/>
      <c r="C683" s="7"/>
      <c r="D683" s="7"/>
      <c r="E683" s="108"/>
      <c r="F683" s="131"/>
      <c r="G683" s="109"/>
      <c r="H683" s="120"/>
    </row>
  </sheetData>
  <sheetProtection algorithmName="SHA-512" hashValue="V75aSYd1JKicf4UDkXqhf0ewh00GBGa7qxTvt/LSD6TwYc7eQeWDDH1BMycLAl8iAeq3dKvOgXHd5aWfonsEqw==" saltValue="ANiWgmLf1WUJlnpvN83z5g==" spinCount="100000" sheet="1" objects="1" scenarios="1"/>
  <mergeCells count="6">
    <mergeCell ref="H6:H7"/>
    <mergeCell ref="A6:A7"/>
    <mergeCell ref="B7:C7"/>
    <mergeCell ref="B6:D6"/>
    <mergeCell ref="E6:F7"/>
    <mergeCell ref="G6:G7"/>
  </mergeCells>
  <pageMargins left="0.43307086614173229" right="0.43307086614173229" top="0.43307086614173229" bottom="0.62992125984251968" header="0.27559055118110237" footer="0.27559055118110237"/>
  <pageSetup paperSize="9" scale="7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000</vt:lpstr>
      <vt:lpstr>069</vt:lpstr>
      <vt:lpstr>'000'!Názvy_tlače</vt:lpstr>
      <vt:lpstr>'069'!Názvy_tlače</vt:lpstr>
      <vt:lpstr>'069'!Oblasť_tlače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Orbanova</dc:creator>
  <cp:lastModifiedBy>Marta Orbanova</cp:lastModifiedBy>
  <cp:lastPrinted>2024-06-10T05:31:00Z</cp:lastPrinted>
  <dcterms:created xsi:type="dcterms:W3CDTF">2019-04-09T06:44:39Z</dcterms:created>
  <dcterms:modified xsi:type="dcterms:W3CDTF">2025-07-24T09:16:51Z</dcterms:modified>
</cp:coreProperties>
</file>