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Výmena ložísk na mostoch D1-329, D1-332 a SO-206\Súťaž_2025\"/>
    </mc:Choice>
  </mc:AlternateContent>
  <xr:revisionPtr revIDLastSave="0" documentId="13_ncr:1_{ECD4E093-F8D6-4117-A2CB-3525E5A9F8A6}" xr6:coauthVersionLast="47" xr6:coauthVersionMax="47" xr10:uidLastSave="{00000000-0000-0000-0000-000000000000}"/>
  <bookViews>
    <workbookView xWindow="28680" yWindow="-5715" windowWidth="38640" windowHeight="21240" tabRatio="924" xr2:uid="{00000000-000D-0000-FFFF-FFFF00000000}"/>
  </bookViews>
  <sheets>
    <sheet name="1.časť_B.2_Rekapitulácia stavby" sheetId="3" r:id="rId1"/>
    <sheet name="1.časť_B.2_Súpis prác_D1-329 " sheetId="2" r:id="rId2"/>
    <sheet name="1.časť_B.2_Časti stavby_D1-329" sheetId="1" r:id="rId3"/>
    <sheet name="1.časť_B.2_Podrobný VV_D1-329 " sheetId="4" r:id="rId4"/>
    <sheet name="1.časť_B.2_Súpis prác_D1-332 " sheetId="5" r:id="rId5"/>
    <sheet name="1.časť_B.2_Časti stavby_D1-332" sheetId="6" r:id="rId6"/>
    <sheet name="1.časť_B.2_Podrobný VV_D1-332 " sheetId="7" r:id="rId7"/>
    <sheet name="A.2_Návrh na pl kritéria_1.časť" sheetId="8" r:id="rId8"/>
  </sheets>
  <definedNames>
    <definedName name="_xlnm.Print_Area" localSheetId="5">'1.časť_B.2_Časti stavby_D1-332'!$A$1:$I$62</definedName>
    <definedName name="_xlnm.Print_Area" localSheetId="3">'1.časť_B.2_Podrobný VV_D1-329 '!$A$1:$J$173</definedName>
    <definedName name="_xlnm.Print_Area" localSheetId="6">'1.časť_B.2_Podrobný VV_D1-332 '!$A$1:$I$198</definedName>
    <definedName name="_xlnm.Print_Area" localSheetId="1">'1.časť_B.2_Súpis prác_D1-329 '!$A$1:$K$52</definedName>
    <definedName name="_xlnm.Print_Area" localSheetId="4">'1.časť_B.2_Súpis prác_D1-332 '!$A$1:$I$59</definedName>
    <definedName name="_xlnm.Print_Area" localSheetId="7">'A.2_Návrh na pl kritéria_1.časť'!$A$1:$E$33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8" i="7" l="1"/>
  <c r="I126" i="7"/>
  <c r="B126" i="7"/>
  <c r="I125" i="7"/>
  <c r="G120" i="7"/>
  <c r="I118" i="7" s="1"/>
  <c r="I117" i="7" s="1"/>
  <c r="H33" i="6"/>
  <c r="I33" i="6" s="1"/>
  <c r="H35" i="6"/>
  <c r="I35" i="6" s="1"/>
  <c r="H43" i="6" l="1"/>
  <c r="I43" i="6" s="1"/>
  <c r="H42" i="6"/>
  <c r="I42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41" i="6"/>
  <c r="I41" i="6" s="1"/>
  <c r="H39" i="6"/>
  <c r="I39" i="6" s="1"/>
  <c r="H40" i="6"/>
  <c r="I40" i="6" s="1"/>
  <c r="H28" i="6"/>
  <c r="I28" i="6" s="1"/>
  <c r="H29" i="6"/>
  <c r="I29" i="6" s="1"/>
  <c r="H30" i="6"/>
  <c r="I30" i="6" s="1"/>
  <c r="H31" i="6"/>
  <c r="I31" i="6" s="1"/>
  <c r="H32" i="6"/>
  <c r="I32" i="6" s="1"/>
  <c r="H34" i="6"/>
  <c r="I34" i="6" s="1"/>
  <c r="H36" i="6"/>
  <c r="I36" i="6" s="1"/>
  <c r="H37" i="6"/>
  <c r="I37" i="6" s="1"/>
  <c r="H38" i="6"/>
  <c r="I38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17" i="6"/>
  <c r="I17" i="6" s="1"/>
  <c r="H14" i="6"/>
  <c r="I14" i="6" s="1"/>
  <c r="H15" i="6"/>
  <c r="I15" i="6" s="1"/>
  <c r="H16" i="6"/>
  <c r="I16" i="6" s="1"/>
  <c r="H13" i="6"/>
  <c r="I13" i="6" s="1"/>
  <c r="H8" i="6"/>
  <c r="I8" i="6" s="1"/>
  <c r="H9" i="6"/>
  <c r="I9" i="6" s="1"/>
  <c r="H10" i="6"/>
  <c r="I10" i="6" s="1"/>
  <c r="H11" i="6"/>
  <c r="I11" i="6" s="1"/>
  <c r="H7" i="6"/>
  <c r="I7" i="6" s="1"/>
  <c r="G196" i="7"/>
  <c r="G197" i="7" s="1"/>
  <c r="I195" i="7" s="1"/>
  <c r="I194" i="7" s="1"/>
  <c r="G192" i="7"/>
  <c r="G193" i="7" s="1"/>
  <c r="I191" i="7" s="1"/>
  <c r="I190" i="7" s="1"/>
  <c r="G188" i="7"/>
  <c r="G189" i="7" s="1"/>
  <c r="I187" i="7" s="1"/>
  <c r="I186" i="7" s="1"/>
  <c r="G184" i="7"/>
  <c r="G185" i="7" s="1"/>
  <c r="I183" i="7" s="1"/>
  <c r="I182" i="7" s="1"/>
  <c r="G179" i="7"/>
  <c r="G180" i="7" s="1"/>
  <c r="I178" i="7" s="1"/>
  <c r="I177" i="7" s="1"/>
  <c r="G175" i="7"/>
  <c r="G174" i="7"/>
  <c r="G173" i="7"/>
  <c r="G168" i="7"/>
  <c r="G169" i="7" s="1"/>
  <c r="I167" i="7" s="1"/>
  <c r="G165" i="7"/>
  <c r="G164" i="7"/>
  <c r="G159" i="7"/>
  <c r="G160" i="7" s="1"/>
  <c r="I158" i="7" s="1"/>
  <c r="I157" i="7" s="1"/>
  <c r="G154" i="7"/>
  <c r="G155" i="7" s="1"/>
  <c r="I153" i="7" s="1"/>
  <c r="I152" i="7" s="1"/>
  <c r="G150" i="7"/>
  <c r="G151" i="7" s="1"/>
  <c r="I149" i="7" s="1"/>
  <c r="I148" i="7" s="1"/>
  <c r="G146" i="7"/>
  <c r="G147" i="7" s="1"/>
  <c r="I145" i="7" s="1"/>
  <c r="I144" i="7" s="1"/>
  <c r="G141" i="7"/>
  <c r="G142" i="7" s="1"/>
  <c r="I140" i="7" s="1"/>
  <c r="I139" i="7" s="1"/>
  <c r="G137" i="7"/>
  <c r="G138" i="7" s="1"/>
  <c r="I136" i="7" s="1"/>
  <c r="I135" i="7" s="1"/>
  <c r="G134" i="7"/>
  <c r="I130" i="7" s="1"/>
  <c r="I129" i="7" s="1"/>
  <c r="G123" i="7"/>
  <c r="G124" i="7" s="1"/>
  <c r="I122" i="7" s="1"/>
  <c r="I121" i="7" s="1"/>
  <c r="G115" i="7"/>
  <c r="G116" i="7" s="1"/>
  <c r="I114" i="7" s="1"/>
  <c r="I113" i="7" s="1"/>
  <c r="G111" i="7"/>
  <c r="G112" i="7" s="1"/>
  <c r="I110" i="7" s="1"/>
  <c r="I109" i="7" s="1"/>
  <c r="G107" i="7"/>
  <c r="G108" i="7" s="1"/>
  <c r="I106" i="7" s="1"/>
  <c r="I105" i="7" s="1"/>
  <c r="G103" i="7"/>
  <c r="G104" i="7" s="1"/>
  <c r="I102" i="7" s="1"/>
  <c r="G100" i="7"/>
  <c r="G101" i="7" s="1"/>
  <c r="I99" i="7" s="1"/>
  <c r="G96" i="7"/>
  <c r="G97" i="7" s="1"/>
  <c r="I95" i="7" s="1"/>
  <c r="I94" i="7" s="1"/>
  <c r="G92" i="7"/>
  <c r="G93" i="7" s="1"/>
  <c r="I91" i="7" s="1"/>
  <c r="I90" i="7" s="1"/>
  <c r="G87" i="7"/>
  <c r="G88" i="7" s="1"/>
  <c r="I86" i="7" s="1"/>
  <c r="I85" i="7" s="1"/>
  <c r="G83" i="7"/>
  <c r="G84" i="7" s="1"/>
  <c r="I82" i="7" s="1"/>
  <c r="I81" i="7" s="1"/>
  <c r="G78" i="7"/>
  <c r="G79" i="7" s="1"/>
  <c r="G74" i="7"/>
  <c r="G75" i="7" s="1"/>
  <c r="I73" i="7" s="1"/>
  <c r="I72" i="7" s="1"/>
  <c r="G70" i="7"/>
  <c r="G71" i="7" s="1"/>
  <c r="I69" i="7" s="1"/>
  <c r="I68" i="7" s="1"/>
  <c r="G66" i="7"/>
  <c r="G67" i="7" s="1"/>
  <c r="I65" i="7" s="1"/>
  <c r="I64" i="7" s="1"/>
  <c r="G62" i="7"/>
  <c r="G63" i="7" s="1"/>
  <c r="I61" i="7" s="1"/>
  <c r="I60" i="7" s="1"/>
  <c r="G59" i="7"/>
  <c r="I57" i="7" s="1"/>
  <c r="I56" i="7" s="1"/>
  <c r="G55" i="7"/>
  <c r="I53" i="7" s="1"/>
  <c r="I52" i="7" s="1"/>
  <c r="G50" i="7"/>
  <c r="G51" i="7" s="1"/>
  <c r="I49" i="7" s="1"/>
  <c r="I48" i="7" s="1"/>
  <c r="G45" i="7"/>
  <c r="G46" i="7" s="1"/>
  <c r="I44" i="7" s="1"/>
  <c r="I43" i="7" s="1"/>
  <c r="G41" i="7"/>
  <c r="G40" i="7"/>
  <c r="G39" i="7"/>
  <c r="G36" i="7"/>
  <c r="I34" i="7" s="1"/>
  <c r="I33" i="7" s="1"/>
  <c r="B34" i="7"/>
  <c r="G31" i="7"/>
  <c r="G32" i="7" s="1"/>
  <c r="I30" i="7" s="1"/>
  <c r="I29" i="7" s="1"/>
  <c r="B14" i="7"/>
  <c r="B18" i="7" s="1"/>
  <c r="G176" i="7" l="1"/>
  <c r="I172" i="7" s="1"/>
  <c r="I171" i="7" s="1"/>
  <c r="I54" i="6"/>
  <c r="G166" i="7"/>
  <c r="I163" i="7" s="1"/>
  <c r="I162" i="7" s="1"/>
  <c r="B38" i="7"/>
  <c r="B44" i="7" s="1"/>
  <c r="G11" i="7"/>
  <c r="G12" i="7" s="1"/>
  <c r="I10" i="7" s="1"/>
  <c r="G42" i="7"/>
  <c r="I38" i="7" s="1"/>
  <c r="I37" i="7" s="1"/>
  <c r="I77" i="7"/>
  <c r="I76" i="7" s="1"/>
  <c r="G15" i="7"/>
  <c r="G16" i="7" s="1"/>
  <c r="I14" i="7" s="1"/>
  <c r="I98" i="7"/>
  <c r="B21" i="7"/>
  <c r="B24" i="7" s="1"/>
  <c r="I53" i="6"/>
  <c r="E12" i="3" s="1"/>
  <c r="I12" i="6"/>
  <c r="F12" i="3" l="1"/>
  <c r="G12" i="3" s="1"/>
  <c r="B49" i="7"/>
  <c r="B53" i="7" s="1"/>
  <c r="E11" i="3"/>
  <c r="F11" i="3" l="1"/>
  <c r="G11" i="3" s="1"/>
  <c r="B57" i="7"/>
  <c r="B61" i="7" s="1"/>
  <c r="B65" i="7" s="1"/>
  <c r="E13" i="3"/>
  <c r="F13" i="3" l="1"/>
  <c r="G13" i="3"/>
  <c r="B69" i="7"/>
  <c r="B73" i="7" s="1"/>
  <c r="B77" i="7" l="1"/>
  <c r="B82" i="7" s="1"/>
  <c r="B86" i="7" l="1"/>
  <c r="B91" i="7" s="1"/>
  <c r="B95" i="7" s="1"/>
  <c r="B99" i="7" s="1"/>
  <c r="B102" i="7" s="1"/>
  <c r="B106" i="7" s="1"/>
  <c r="B110" i="7" s="1"/>
  <c r="B114" i="7" s="1"/>
  <c r="B118" i="7" l="1"/>
  <c r="B122" i="7" s="1"/>
  <c r="B130" i="7" l="1"/>
  <c r="B136" i="7" s="1"/>
  <c r="B140" i="7" s="1"/>
  <c r="B145" i="7" s="1"/>
  <c r="B149" i="7" s="1"/>
  <c r="B153" i="7" s="1"/>
  <c r="B158" i="7" s="1"/>
  <c r="B163" i="7" s="1"/>
  <c r="B167" i="7" s="1"/>
  <c r="B172" i="7" s="1"/>
  <c r="B178" i="7" s="1"/>
  <c r="B183" i="7" s="1"/>
  <c r="B187" i="7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8" i="2"/>
  <c r="B191" i="7" l="1"/>
  <c r="B195" i="7" s="1"/>
  <c r="H31" i="1"/>
  <c r="H30" i="1"/>
  <c r="H29" i="1"/>
  <c r="I30" i="1" l="1"/>
  <c r="I31" i="1"/>
  <c r="K31" i="2"/>
  <c r="K30" i="2"/>
  <c r="G107" i="4"/>
  <c r="H27" i="1" l="1"/>
  <c r="H28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6" i="1"/>
  <c r="H25" i="1"/>
  <c r="H24" i="1"/>
  <c r="H23" i="1"/>
  <c r="H14" i="1"/>
  <c r="H15" i="1"/>
  <c r="H16" i="1"/>
  <c r="H17" i="1"/>
  <c r="H18" i="1"/>
  <c r="H19" i="1"/>
  <c r="H20" i="1"/>
  <c r="H21" i="1"/>
  <c r="H22" i="1"/>
  <c r="H13" i="1"/>
  <c r="H8" i="1"/>
  <c r="H9" i="1"/>
  <c r="H10" i="1"/>
  <c r="H11" i="1"/>
  <c r="H7" i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2" i="2"/>
  <c r="K33" i="2"/>
  <c r="K34" i="2"/>
  <c r="K35" i="2"/>
  <c r="K36" i="2"/>
  <c r="K37" i="2"/>
  <c r="K38" i="2"/>
  <c r="K40" i="2"/>
  <c r="K41" i="2"/>
  <c r="K42" i="2"/>
  <c r="K43" i="2"/>
  <c r="K44" i="2"/>
  <c r="K45" i="2"/>
  <c r="K46" i="2"/>
  <c r="I40" i="1" l="1"/>
  <c r="I42" i="1"/>
  <c r="G171" i="4" l="1"/>
  <c r="G172" i="4" s="1"/>
  <c r="I170" i="4" s="1"/>
  <c r="G168" i="4"/>
  <c r="I166" i="4" s="1"/>
  <c r="I165" i="4" s="1"/>
  <c r="G163" i="4"/>
  <c r="G164" i="4" s="1"/>
  <c r="I162" i="4" s="1"/>
  <c r="G159" i="4"/>
  <c r="G160" i="4" s="1"/>
  <c r="I158" i="4" s="1"/>
  <c r="I157" i="4" s="1"/>
  <c r="G154" i="4"/>
  <c r="G155" i="4" s="1"/>
  <c r="I153" i="4" s="1"/>
  <c r="G151" i="4"/>
  <c r="I149" i="4" s="1"/>
  <c r="G146" i="4"/>
  <c r="G147" i="4" s="1"/>
  <c r="I145" i="4" s="1"/>
  <c r="I144" i="4" s="1"/>
  <c r="G141" i="4"/>
  <c r="G142" i="4" s="1"/>
  <c r="I140" i="4" s="1"/>
  <c r="G136" i="4"/>
  <c r="G137" i="4" s="1"/>
  <c r="I135" i="4" s="1"/>
  <c r="I134" i="4" s="1"/>
  <c r="G132" i="4"/>
  <c r="G133" i="4" s="1"/>
  <c r="I131" i="4" s="1"/>
  <c r="G127" i="4"/>
  <c r="G128" i="4" s="1"/>
  <c r="I126" i="4" s="1"/>
  <c r="G123" i="4"/>
  <c r="G124" i="4" s="1"/>
  <c r="I122" i="4" s="1"/>
  <c r="G119" i="4"/>
  <c r="G120" i="4" s="1"/>
  <c r="I118" i="4" s="1"/>
  <c r="H114" i="4"/>
  <c r="H115" i="4" s="1"/>
  <c r="G114" i="4"/>
  <c r="G115" i="4" s="1"/>
  <c r="I113" i="4" s="1"/>
  <c r="G110" i="4"/>
  <c r="G111" i="4" s="1"/>
  <c r="I109" i="4" s="1"/>
  <c r="I103" i="4"/>
  <c r="G100" i="4"/>
  <c r="G101" i="4" s="1"/>
  <c r="I97" i="4" s="1"/>
  <c r="G94" i="4"/>
  <c r="G95" i="4" s="1"/>
  <c r="I93" i="4" s="1"/>
  <c r="I92" i="4" s="1"/>
  <c r="G90" i="4"/>
  <c r="G91" i="4" s="1"/>
  <c r="I89" i="4" s="1"/>
  <c r="I88" i="4" s="1"/>
  <c r="G84" i="4"/>
  <c r="G85" i="4" s="1"/>
  <c r="I83" i="4" s="1"/>
  <c r="G80" i="4"/>
  <c r="G81" i="4" s="1"/>
  <c r="I79" i="4" s="1"/>
  <c r="G76" i="4"/>
  <c r="G77" i="4" s="1"/>
  <c r="I75" i="4" s="1"/>
  <c r="G72" i="4"/>
  <c r="G73" i="4" s="1"/>
  <c r="I71" i="4" s="1"/>
  <c r="G68" i="4"/>
  <c r="G67" i="4"/>
  <c r="G64" i="4"/>
  <c r="I62" i="4" s="1"/>
  <c r="I61" i="4" s="1"/>
  <c r="G60" i="4"/>
  <c r="I58" i="4" s="1"/>
  <c r="I57" i="4" s="1"/>
  <c r="G55" i="4"/>
  <c r="G56" i="4" s="1"/>
  <c r="I54" i="4" s="1"/>
  <c r="G50" i="4"/>
  <c r="G51" i="4" s="1"/>
  <c r="I49" i="4" s="1"/>
  <c r="G46" i="4"/>
  <c r="G45" i="4"/>
  <c r="G44" i="4"/>
  <c r="G43" i="4"/>
  <c r="G39" i="4"/>
  <c r="G40" i="4" s="1"/>
  <c r="I38" i="4" s="1"/>
  <c r="G35" i="4"/>
  <c r="G36" i="4" s="1"/>
  <c r="I34" i="4" s="1"/>
  <c r="G31" i="4"/>
  <c r="G32" i="4" s="1"/>
  <c r="I30" i="4" s="1"/>
  <c r="I29" i="4" s="1"/>
  <c r="B14" i="4"/>
  <c r="B18" i="4" s="1"/>
  <c r="G11" i="4" l="1"/>
  <c r="G12" i="4" s="1"/>
  <c r="I10" i="4" s="1"/>
  <c r="G69" i="4"/>
  <c r="I66" i="4" s="1"/>
  <c r="I108" i="4"/>
  <c r="I33" i="4"/>
  <c r="I53" i="4"/>
  <c r="I148" i="4"/>
  <c r="I152" i="4"/>
  <c r="I78" i="4"/>
  <c r="I112" i="4"/>
  <c r="I117" i="4"/>
  <c r="I121" i="4"/>
  <c r="I9" i="4"/>
  <c r="I130" i="4"/>
  <c r="I96" i="4"/>
  <c r="I82" i="4"/>
  <c r="I37" i="4"/>
  <c r="B21" i="4"/>
  <c r="B24" i="4" s="1"/>
  <c r="I65" i="4"/>
  <c r="I125" i="4"/>
  <c r="I48" i="4"/>
  <c r="I70" i="4"/>
  <c r="I74" i="4"/>
  <c r="I102" i="4"/>
  <c r="I169" i="4"/>
  <c r="G47" i="4"/>
  <c r="I42" i="4" s="1"/>
  <c r="G15" i="4"/>
  <c r="G16" i="4" s="1"/>
  <c r="I14" i="4" s="1"/>
  <c r="I139" i="4"/>
  <c r="I161" i="4"/>
  <c r="I39" i="1"/>
  <c r="I41" i="4" l="1"/>
  <c r="I13" i="4"/>
  <c r="I33" i="1"/>
  <c r="I41" i="1"/>
  <c r="K8" i="2" l="1"/>
  <c r="I46" i="1"/>
  <c r="I45" i="1"/>
  <c r="I44" i="1"/>
  <c r="I43" i="1"/>
  <c r="I38" i="1"/>
  <c r="I37" i="1"/>
  <c r="I36" i="1"/>
  <c r="I35" i="1"/>
  <c r="I34" i="1"/>
  <c r="I32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8" i="1"/>
  <c r="I7" i="1"/>
  <c r="I47" i="1" l="1"/>
  <c r="E8" i="3" s="1"/>
  <c r="I9" i="1"/>
  <c r="I48" i="1" s="1"/>
  <c r="F8" i="3" l="1"/>
  <c r="G8" i="3" s="1"/>
  <c r="I12" i="1"/>
  <c r="E7" i="3" l="1"/>
  <c r="E9" i="3" s="1"/>
  <c r="E15" i="3" s="1"/>
  <c r="C19" i="8" s="1"/>
  <c r="F7" i="3" l="1"/>
  <c r="G7" i="3" s="1"/>
  <c r="G9" i="3" s="1"/>
  <c r="G15" i="3" s="1"/>
  <c r="D19" i="8"/>
  <c r="E19" i="8" s="1"/>
  <c r="F9" i="3" l="1"/>
  <c r="F15" i="3" s="1"/>
</calcChain>
</file>

<file path=xl/sharedStrings.xml><?xml version="1.0" encoding="utf-8"?>
<sst xmlns="http://schemas.openxmlformats.org/spreadsheetml/2006/main" count="1513" uniqueCount="392">
  <si>
    <t>Časť stavby</t>
  </si>
  <si>
    <t>Čislo položky</t>
  </si>
  <si>
    <t>Názov položky</t>
  </si>
  <si>
    <t>M.j.</t>
  </si>
  <si>
    <t>Množstvo</t>
  </si>
  <si>
    <t>Jednotková cena</t>
  </si>
  <si>
    <t>Cena bez DPH</t>
  </si>
  <si>
    <t>000 - Všeobecné položky v procese obstarávania stavieb</t>
  </si>
  <si>
    <t xml:space="preserve">45.00.00  </t>
  </si>
  <si>
    <t>00010401</t>
  </si>
  <si>
    <t>Zmluvné požiadavky poplatky za skládky vybúraných hmôt a sutí</t>
  </si>
  <si>
    <t>T</t>
  </si>
  <si>
    <t>00010402</t>
  </si>
  <si>
    <t>Zmluvné požiadavky poplatky za zemník</t>
  </si>
  <si>
    <t>M3</t>
  </si>
  <si>
    <t>00030331</t>
  </si>
  <si>
    <t>Geodetické práce, vykonávané po výstavbe, zameranie skutočného vyhotovenia stavby</t>
  </si>
  <si>
    <t>M2</t>
  </si>
  <si>
    <t>00030332</t>
  </si>
  <si>
    <t>Geodetické práce, vykonávané po výstavbe, kontrolné merania zhotoveného objektu</t>
  </si>
  <si>
    <t>00040222</t>
  </si>
  <si>
    <t>Projektové práce, stavebná časť (stavebné objekty vrátane ich technického vybavenia), náklady na dokumentáciu skutočného zhotovenia stavby</t>
  </si>
  <si>
    <t>KPL</t>
  </si>
  <si>
    <t>Celkom za 000 - Všeobecné položky v procese obstarávania stavieb</t>
  </si>
  <si>
    <t xml:space="preserve">329-00, Most ev.č. D1-329 nadmelioračnou priekopou </t>
  </si>
  <si>
    <t xml:space="preserve">45.11.11  </t>
  </si>
  <si>
    <t>05010505</t>
  </si>
  <si>
    <t>Búranie konštrukcií podláh, podkladov, dlažieb železobetónových</t>
  </si>
  <si>
    <t>KS</t>
  </si>
  <si>
    <t>05080200</t>
  </si>
  <si>
    <t>Doprava vybúraných hmôt vodorovná</t>
  </si>
  <si>
    <t>05090405</t>
  </si>
  <si>
    <t>Doplňujúce práce, diamantové rezanie betónovej konštrukcie</t>
  </si>
  <si>
    <t>M</t>
  </si>
  <si>
    <t>45.11.20</t>
  </si>
  <si>
    <t>01010103</t>
  </si>
  <si>
    <t>Pripravné práce, odstránenie porastov krovín</t>
  </si>
  <si>
    <t>01010201</t>
  </si>
  <si>
    <t>Pripravné práce, rúbanie stromov</t>
  </si>
  <si>
    <t>KUS</t>
  </si>
  <si>
    <t>01010202</t>
  </si>
  <si>
    <t>Pripravné práce, rúbanie odstránenie pňov</t>
  </si>
  <si>
    <t>01020200</t>
  </si>
  <si>
    <t>Odkopávky a prekopávky nezapažené</t>
  </si>
  <si>
    <t>01040401</t>
  </si>
  <si>
    <t>Konštrukcie z hornín - zásypy bez zhutnenia</t>
  </si>
  <si>
    <t>01060204</t>
  </si>
  <si>
    <t>Premiestnenie  vodorovné nad 3 000 m</t>
  </si>
  <si>
    <t xml:space="preserve">45.22.11  </t>
  </si>
  <si>
    <t>11050202</t>
  </si>
  <si>
    <t>Zvislé konštrukcie inžinierskych stavieb, opory z betónu železového</t>
  </si>
  <si>
    <t>11050212</t>
  </si>
  <si>
    <t>Zvislé konštrukcie inžinierskych stavieb, opory, debnenie z dielcov</t>
  </si>
  <si>
    <t>11050221</t>
  </si>
  <si>
    <t>Zvislé konštrukcie inžinierskych stavieb, opory, výstuž z betonárskej ocele</t>
  </si>
  <si>
    <t>21080407</t>
  </si>
  <si>
    <t>Vodorovné nosné konštrukcie, kĺby a ložiská elastomerové a gumené</t>
  </si>
  <si>
    <t>21251006</t>
  </si>
  <si>
    <t>Doplňujúce konštrukcie, podperné konštrukcie mostov oceľové</t>
  </si>
  <si>
    <t>45.23.31</t>
  </si>
  <si>
    <t>22010104</t>
  </si>
  <si>
    <t>Podkladné a krycie vrstvy bez spojiva nestmelené, štrkodrva</t>
  </si>
  <si>
    <t>22040145</t>
  </si>
  <si>
    <t>Kryty dláždené,chodníkov komunikácií,rigolov, prefabrikované panely cestné</t>
  </si>
  <si>
    <t xml:space="preserve">45.23.32  </t>
  </si>
  <si>
    <t>22250184</t>
  </si>
  <si>
    <t>Doplňujúce konštrukcie, zábradlie plastové</t>
  </si>
  <si>
    <t>45.26.22</t>
  </si>
  <si>
    <t>02060144</t>
  </si>
  <si>
    <t>Spevňovanie hornín a konštrukcií svorníkmi v podzemí, lepenými</t>
  </si>
  <si>
    <t>21251161</t>
  </si>
  <si>
    <t>Doplňujúce konštrukcie, špeciálne pomocné, ošetrenie betonárskej výstuže</t>
  </si>
  <si>
    <t>45.24.70</t>
  </si>
  <si>
    <t>31210303</t>
  </si>
  <si>
    <t>Spevnené plochy, dlažby z  lomového  kameňa</t>
  </si>
  <si>
    <t>31210308</t>
  </si>
  <si>
    <t>Spevnené plochy, dlažby z betónových dielcov, tvárnic</t>
  </si>
  <si>
    <t>45.26.23</t>
  </si>
  <si>
    <t>11090202</t>
  </si>
  <si>
    <t>Schodiskové konštrukcie, stupne z betónu železového</t>
  </si>
  <si>
    <t>11090211</t>
  </si>
  <si>
    <t>Schodiskové konštrukcie, stupne, debnenie tradičné</t>
  </si>
  <si>
    <t>11090221</t>
  </si>
  <si>
    <t>Schodiskové konštrukcie, stupne, výstuž z betonárskej ocele</t>
  </si>
  <si>
    <t>14030251</t>
  </si>
  <si>
    <t>Násyp pod základ. konštrukcie z kameniva ťaženého</t>
  </si>
  <si>
    <t>Celkový súčet</t>
  </si>
  <si>
    <t>Klasifikácia produkcie</t>
  </si>
  <si>
    <t>Jedn. cena s DPH</t>
  </si>
  <si>
    <t>45.11.11 - Demolačné práce</t>
  </si>
  <si>
    <t>45.11.20 - Výkopové zemné práce a presun zemín</t>
  </si>
  <si>
    <t>45.22.11 - Stavebné práce na mostoch</t>
  </si>
  <si>
    <t>45.23.31 - Stavebné práce na výstavbe diaľnic a ciest chodníkov a nekrytých parkovísk</t>
  </si>
  <si>
    <t>45.23.32 - Práce na vrchnej stavbe diaľníc, ciest, ulíc, chodníkov a nekrytých parkovísk</t>
  </si>
  <si>
    <t>45.26.23 - Betonárske práce</t>
  </si>
  <si>
    <t>45.24.70 - Práce na hrubej stavbe úprav tokov, hrádzí, zavlažovacích kanálov a akvaduktov</t>
  </si>
  <si>
    <t>45.26.22  - Základové práce a vŕtanie vodných studní</t>
  </si>
  <si>
    <t>Číslo časti stavby</t>
  </si>
  <si>
    <t>Klasifikácia stavieb</t>
  </si>
  <si>
    <t>Názov časti stavby</t>
  </si>
  <si>
    <t>Cena s DPH</t>
  </si>
  <si>
    <t xml:space="preserve">000    </t>
  </si>
  <si>
    <t xml:space="preserve">    </t>
  </si>
  <si>
    <t xml:space="preserve">Všeobecné položky v procese obstarávania stavieb    </t>
  </si>
  <si>
    <t>Celkom za 329-00 Most ev. č. D1-329 nad melioračnou priekopou</t>
  </si>
  <si>
    <t>Most ev. č. D1-329 nad melioračnou priekopou</t>
  </si>
  <si>
    <t xml:space="preserve">45.26.14  </t>
  </si>
  <si>
    <t>61010101</t>
  </si>
  <si>
    <t>Izolácie proti vode a zemnej vlhkosti, bežných konštrukcií náterivami a tmelmi</t>
  </si>
  <si>
    <t>45.26.14 - Izolačné práce proti vode</t>
  </si>
  <si>
    <t xml:space="preserve">61010101       </t>
  </si>
  <si>
    <t xml:space="preserve">M2        </t>
  </si>
  <si>
    <t>TSP</t>
  </si>
  <si>
    <t>Kód položky</t>
  </si>
  <si>
    <t>Všeobecné položky v procese obstarávania stavieb</t>
  </si>
  <si>
    <t>0001040100</t>
  </si>
  <si>
    <t xml:space="preserve">spolu </t>
  </si>
  <si>
    <t>00010403</t>
  </si>
  <si>
    <t xml:space="preserve">Zmluvné požiadavky poplatky za skládku zeminy </t>
  </si>
  <si>
    <t>0001040300</t>
  </si>
  <si>
    <t>Poplatok za uloženie prebyt.zem. na trvalú skládku</t>
  </si>
  <si>
    <t>0003033100</t>
  </si>
  <si>
    <t>0003033200</t>
  </si>
  <si>
    <t xml:space="preserve">329 00, Most ev.č. D1-329 nad melioračnou priekopou </t>
  </si>
  <si>
    <t>Demolačné práce</t>
  </si>
  <si>
    <t>Búranie dlažby z betonových tvaroviek v betónovom lôžku pred oporami na svahovom kuželi; 1,5*1*33*0,2</t>
  </si>
  <si>
    <t>0501050500</t>
  </si>
  <si>
    <t>Odstránenie betónovej rovnaniny pod podpernú skruž; 157,5 m2</t>
  </si>
  <si>
    <t xml:space="preserve">Demontáž ložísk, 73 ks </t>
  </si>
  <si>
    <t>0508020003</t>
  </si>
  <si>
    <t>Doprava vybúraných hmôt vodorovná, nad 1 km</t>
  </si>
  <si>
    <t>Odstránenie bet. rovnaniny - 157,50 m2  x 0,408 (t/m2)</t>
  </si>
  <si>
    <t>Búranie dlažby; 9,9 m3 x 2,447 t/m3</t>
  </si>
  <si>
    <t>Rezanie bločkov ložísk; 73 ks x 0,125m3*2,2 t/m3</t>
  </si>
  <si>
    <t>Demont ložísk 73 ks; 0,06 t/ks</t>
  </si>
  <si>
    <t>0509040500</t>
  </si>
  <si>
    <t xml:space="preserve">45.11.20  </t>
  </si>
  <si>
    <t>Výkopové zemné práce a presun zemín</t>
  </si>
  <si>
    <t>0101010301</t>
  </si>
  <si>
    <t>Pripravné práce, odstránenie porastov krovín na suchu</t>
  </si>
  <si>
    <t>Odstránenie krovín, 300 m2</t>
  </si>
  <si>
    <t>0101020101</t>
  </si>
  <si>
    <t>Pripravné práce, rúbanie stromov priemer do 50 cm</t>
  </si>
  <si>
    <t xml:space="preserve">Odstránenie stromov; 10 ks </t>
  </si>
  <si>
    <t>0101020201</t>
  </si>
  <si>
    <t>Pripravné práce, rúbanie odstránenie pňov priemer do 50 cm</t>
  </si>
  <si>
    <t>0102020003</t>
  </si>
  <si>
    <t>Odkopávky a prekopávky nezapažené, tr.horniny 4</t>
  </si>
  <si>
    <t>Odkop svahových kužeľov pre revízne schody; 34,10 m3(odpoč. z 3D modelu)</t>
  </si>
  <si>
    <t>Odkop svahových kužeľov pred oporami; 37,0 m3 (odpoč. z 3D modelu)</t>
  </si>
  <si>
    <t>0104040103</t>
  </si>
  <si>
    <t>Konštrukcie z hornín - zásypy bez zhutnenia, tr.horniny 4</t>
  </si>
  <si>
    <t xml:space="preserve">Spätný zásyp schodov po terén; 0,4*22*2 </t>
  </si>
  <si>
    <t>0106020401</t>
  </si>
  <si>
    <t>Premiestnenie  výkopku resp. rúbaniny, vodorovné nad 3 000 m, tr. horniny 1-4</t>
  </si>
  <si>
    <t>Odvoz nepotrebnej zeminy (výkop - sp. zásyp); 71,10-17,6</t>
  </si>
  <si>
    <t>0106020404</t>
  </si>
  <si>
    <t>Premiestnenie  vodorovné nad 3 000 m, vyklčovaných krovín</t>
  </si>
  <si>
    <t>0106020406</t>
  </si>
  <si>
    <t xml:space="preserve">Premiestnenie  vodorovné nad 3 000 m kmeňov </t>
  </si>
  <si>
    <t xml:space="preserve">Odvoz kmeňov stromov, 10 ks </t>
  </si>
  <si>
    <t>Stavebné práce na mostoch</t>
  </si>
  <si>
    <t>1105020207</t>
  </si>
  <si>
    <t>Zvislé konštrukcie inžinierskych stavieb, opory z betónu železového, tr. C 30/37 (B 35)</t>
  </si>
  <si>
    <t>Betón opory dobetonávka čiel (C30/37); (2*25+2*12)*2*0,15</t>
  </si>
  <si>
    <t>1105021201</t>
  </si>
  <si>
    <t>Zvislé konštrukcie inžinierskych stavieb, opory, debnenie z dielcov drevených</t>
  </si>
  <si>
    <t>Debnenie opory (dobetonávka čiel); (2*25+2*12)*2</t>
  </si>
  <si>
    <t>1105022106</t>
  </si>
  <si>
    <t>Zvislé konštrukcie inžinierskych stavieb, opory, výstuž z betonárskej ocele 10505</t>
  </si>
  <si>
    <t>Betonárska výstuž - tyčová; (0,167+0,165)</t>
  </si>
  <si>
    <t>1105022107</t>
  </si>
  <si>
    <t>Zvislé konštrukcie inžinierskych stavieb, opory, výstuž z betonárskej ocele zo zváraných sietí</t>
  </si>
  <si>
    <t>Betonárska výstuž - Kari sieť; (0,854+0,854)</t>
  </si>
  <si>
    <t>2108040703</t>
  </si>
  <si>
    <t>Vodorovné nosné konštrukcie, kĺby a ložiská elastomerové a gumené, zvislé zaťaženie do 5 MN</t>
  </si>
  <si>
    <t>2125100601</t>
  </si>
  <si>
    <t>Doplňujúce konštrukcie, podperné konštrukcie mostov oceľové ľahké</t>
  </si>
  <si>
    <t>2125116100</t>
  </si>
  <si>
    <t>Antikorózna ochrana vyčnievajúcej výstuže rezaných plôch bločkov (5% plochy); 73*0,5*0,5*0,05</t>
  </si>
  <si>
    <t>Práce na vrchnej stavbe diaľníc, ciest, ulíc, chodníkov a nekrytých parkovísk</t>
  </si>
  <si>
    <t>22010102</t>
  </si>
  <si>
    <t>Podkladné a krycie vrstvy bez spojiva nestmelené, štrkopiesok</t>
  </si>
  <si>
    <t>2201010200</t>
  </si>
  <si>
    <t>Štrk pod betónovu rovnaninu skruže (hr. 250 mm); 39,40m3</t>
  </si>
  <si>
    <t>2204014501</t>
  </si>
  <si>
    <t>Kryty dláždené,chodníkov komunikácií,rigolov, prefabrikované panely cestné zo železobetónu</t>
  </si>
  <si>
    <t>Betónová rovnanina z cestných panelov pod podpernu skruž;  0,5*1+2,5*15,7*4</t>
  </si>
  <si>
    <t>2225018401</t>
  </si>
  <si>
    <t>Doplňujúce konštrukcie, zábradlie plastové, mostov a múrov</t>
  </si>
  <si>
    <t xml:space="preserve">Zábradlie pri revíznych schodoch z kompozitu, vrátane upevnenia chem. kotvami (82 ks), dl. 20,8+20,2 m </t>
  </si>
  <si>
    <t>Práce na hrubej stavbe úprav tokov, hrádzí, zavlažovacích kanálov a akvaduktov</t>
  </si>
  <si>
    <t>3121030302</t>
  </si>
  <si>
    <t>Spevnené plochy, dlažby z lomového kameňa na cementovú maltu</t>
  </si>
  <si>
    <t>Lomový kameň do betónového lôžka hr. bet.0,2m hr. kamen 0,2m – svah medzi oporami (1,80+1,80)m2</t>
  </si>
  <si>
    <t>3121030801</t>
  </si>
  <si>
    <t>Spevnené plochy, dlažby z betónových dielcov, tvárnic hmotnosť do 60 kg</t>
  </si>
  <si>
    <t>Dlažba novej revíznej lavičky z betónových tvaroviek hr.150 v betónovom lôžku hr.200 pred oporami, hore na svahovom kuželi; 130,50 m2</t>
  </si>
  <si>
    <t xml:space="preserve"> Izolačné práce proti vode</t>
  </si>
  <si>
    <t>6101010103</t>
  </si>
  <si>
    <t>Izolácie proti vode a zemnej vlhkosti, bežných konštrukcií náterivami a tmelmi podhľadov</t>
  </si>
  <si>
    <t xml:space="preserve">Náter proti vlhkosti - styk betónových plôch so zeminou;  50 m2 </t>
  </si>
  <si>
    <t>Základové práce a vŕtanie vodných studní</t>
  </si>
  <si>
    <t>02020374</t>
  </si>
  <si>
    <t>Vrty pre svorníky a kotvy v podzemí, tr.horniny IV</t>
  </si>
  <si>
    <t>0202037401</t>
  </si>
  <si>
    <t>Vrty pre svorníky a kotvy v podzemí, tr.horniny IV, D do 13 mm</t>
  </si>
  <si>
    <t xml:space="preserve">Vŕtanie a lepenie výstuže do betónu – priemer vrtu 12, hĺbka vrtu 110mm; 0,11*1788 </t>
  </si>
  <si>
    <t>0206034401</t>
  </si>
  <si>
    <t>Spevňovanie hornín a konštrukcií kotvami v podzemí, lepenými, dĺ. do 3 m</t>
  </si>
  <si>
    <t xml:space="preserve">Vŕtanie a lepenie výstuže do betónu – priemer vrtu 12, hĺbka vrtu 110m, 1788 ks </t>
  </si>
  <si>
    <t>02061081</t>
  </si>
  <si>
    <t>Spevňovanie hornín a konštrukcií, očistenie plôch vodou</t>
  </si>
  <si>
    <t>0206108101</t>
  </si>
  <si>
    <t>Spevňovanie hornín a konštrukcií, očistenie plôch vodou, stien</t>
  </si>
  <si>
    <t>Čistenie pohladových plôch opôr vodným lúčom; (2*25+2*12)*2</t>
  </si>
  <si>
    <t xml:space="preserve"> Betonárske práce</t>
  </si>
  <si>
    <t>1109021101</t>
  </si>
  <si>
    <t>Schodiskové konštrukcie, stupne, debnenie tradičné drevené</t>
  </si>
  <si>
    <t>Schodisko - debnenie;(7,4+8,1)*0,9+6*4</t>
  </si>
  <si>
    <t>Schodiskové konštrukcie, stupne, výstuž z betonárskej ocele zo zváraných sietí</t>
  </si>
  <si>
    <t>Schodisko - betonárska výstuž (KARI siete); 0,474 ton</t>
  </si>
  <si>
    <t>1403025100</t>
  </si>
  <si>
    <t>Schodisko - štrkopieskový podsyp; (5+5)*1,1</t>
  </si>
  <si>
    <t>05010204</t>
  </si>
  <si>
    <t>0501020400</t>
  </si>
  <si>
    <t>05020907</t>
  </si>
  <si>
    <t>Vybúranie konštrukcií a demontáže, rôznych predmetov kovových</t>
  </si>
  <si>
    <t>Búranie konštrukcií muriva, priečok, pilierov,prekladov betónových</t>
  </si>
  <si>
    <t>0502090700</t>
  </si>
  <si>
    <t>45.22.12</t>
  </si>
  <si>
    <t>45.22.13</t>
  </si>
  <si>
    <t xml:space="preserve">Rezanie bločkov ložísk diamantovou reťazou ; 73x 0,50 m2 </t>
  </si>
  <si>
    <t>Vodorovné nosné konštrukcie, kĺby a ložiská elastomerové a gumené pevné</t>
  </si>
  <si>
    <t>Vodorovné nosné konštrukcie, kĺby a ložiská elastomerové a gumené jednosmerné</t>
  </si>
  <si>
    <t>Vodorovné nosné konštrukcie, kĺby a ložiská elastomerové a gumené všesmerné</t>
  </si>
  <si>
    <t xml:space="preserve">Poplatok za uloženie a recykláciu odpadu </t>
  </si>
  <si>
    <t>...........................................................</t>
  </si>
  <si>
    <t>meno, priezvisko a podpis osoby</t>
  </si>
  <si>
    <t>oprávnenej konať v mene uchádzača</t>
  </si>
  <si>
    <t>V ....................... dňa: ......................</t>
  </si>
  <si>
    <t>DPH 23%</t>
  </si>
  <si>
    <t>Návrh na plnenie kritéria</t>
  </si>
  <si>
    <t>1. Názov predmetu zákazky: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</si>
  <si>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</si>
  <si>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</si>
  <si>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</si>
  <si>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</si>
  <si>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</si>
  <si>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</si>
  <si>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</si>
  <si>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</si>
  <si>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Popis</t>
  </si>
  <si>
    <t>DPH 
[€]</t>
  </si>
  <si>
    <t>Celková cena 
[€ s DPH]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</si>
  <si>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</si>
  <si>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Som platiteľom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</si>
  <si>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</si>
  <si>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</si>
  <si>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 xml:space="preserve">SO 332-00 </t>
  </si>
  <si>
    <t>Most ev. č. D1-332 nad potokom a poľnou cestou</t>
  </si>
  <si>
    <t>SO 329 - 00</t>
  </si>
  <si>
    <t xml:space="preserve">Klasifikácia produkcie </t>
  </si>
  <si>
    <t xml:space="preserve">45.00.00 - Všeobecné položky v procese obstarávania stavieb </t>
  </si>
  <si>
    <t>05090205</t>
  </si>
  <si>
    <t>Doplňujúce práce, úprava stavebných konštrukcií vysokotlakým vodným lúčom železobetónových</t>
  </si>
  <si>
    <t>01010401</t>
  </si>
  <si>
    <t>Pripravné práce, odvedenie vody potrubím alebo žľabmi na povrchu</t>
  </si>
  <si>
    <t>01040501</t>
  </si>
  <si>
    <t>Konštrukcie z hornín - obsypy bez zhutnenia</t>
  </si>
  <si>
    <t>11050402</t>
  </si>
  <si>
    <t>Zvislé konštrukcie inžinierskych stavieb, stĺpy, podpery z betónu železového</t>
  </si>
  <si>
    <t>11050411</t>
  </si>
  <si>
    <t>Zvislé konštrukcie inžinierskych stavieb, stĺpy, podpery, debnenie tradičné</t>
  </si>
  <si>
    <t>11050421</t>
  </si>
  <si>
    <t>Zvislé konštrukcie inžinierskych stavieb, stĺpy, podpery, výstuž z betonárskej ocele</t>
  </si>
  <si>
    <t>11050511</t>
  </si>
  <si>
    <t>Zvislé konštrukcie inžinierskych stavieb, úložné prahy, debnenie tradičné</t>
  </si>
  <si>
    <t>21250422</t>
  </si>
  <si>
    <t>Doplňujúce konštrukcie, dilatačné zariadenia, výplň dilatačných škár</t>
  </si>
  <si>
    <t>45.26.22 - Základové práce a vŕtanie vodných studní</t>
  </si>
  <si>
    <t>02020174</t>
  </si>
  <si>
    <t>Vrty pre kotvenie, injektáž, mikropilóty a monitoring na povrchu, tr.horniny IV,</t>
  </si>
  <si>
    <t>02020174.</t>
  </si>
  <si>
    <t>45.26.23 - Betonárske prác</t>
  </si>
  <si>
    <t>SO 332-00 Most ev. č. D1-332 nad potokom a poľnou cestou</t>
  </si>
  <si>
    <t xml:space="preserve">Celkom za 332-00 Most ev. č. D-332 nad potokom a poľnou cestou </t>
  </si>
  <si>
    <t>CPV</t>
  </si>
  <si>
    <t>0004022200</t>
  </si>
  <si>
    <t xml:space="preserve">SO 332-00 Most ev. č. D1-332 nad potokom a poľnou cestou </t>
  </si>
  <si>
    <t>Odstránenie betónovej rovnaniny pod podpernú skruž; 140,5 m2</t>
  </si>
  <si>
    <t>Demontáž a odvoz pôvodných ložísk</t>
  </si>
  <si>
    <t>Doprava vybúraných hmôt vodorovná nad 1 km</t>
  </si>
  <si>
    <t>Odstránenie bet. rovnaniny - 140,5m2  x 0,408 (t/m2)</t>
  </si>
  <si>
    <t>Odstránenie ložísk na moste; 72ks x 0,07 t/ks</t>
  </si>
  <si>
    <t>Búranie podložiskových bločkov a úložného prahu; 45,4+45,4 m3 x 2,2 ton/m3</t>
  </si>
  <si>
    <t>0509020502</t>
  </si>
  <si>
    <t>Doplňujúce práce, úprava stavebných konštrukcií vysokotlakým vodným lúčom železobetónových, búranie</t>
  </si>
  <si>
    <t>Búranie podložiskových bločkov a úložného prahu vodným lúčom; 45,4+45,4 m3</t>
  </si>
  <si>
    <t>0101040104</t>
  </si>
  <si>
    <t>Pripravné práce, odvedenie vody potrubím alebo žľabmi na povrchu, DO do 1000 mm</t>
  </si>
  <si>
    <t xml:space="preserve">Zatrubnenie potoka pred oporou 2 – DN800; 35 m </t>
  </si>
  <si>
    <t>Odkop svahových kužeľov pre schodiská; 8,50 m3 (odpočít. z 3D modelu)</t>
  </si>
  <si>
    <t>01040201</t>
  </si>
  <si>
    <t>Konštrukcie z hornín - násypy bez zhutnenia</t>
  </si>
  <si>
    <t>0104020102</t>
  </si>
  <si>
    <t>Konštrukcie z hornín - násypy bez zhutnenia zo zemín nesúdržných</t>
  </si>
  <si>
    <t>Zásyp rúry štrkom; 42 m3 (odpočít. z 3D modelu)</t>
  </si>
  <si>
    <t>Spätný zásyp schodov po terén; 2,0 m3 (odpočít. z 3D modelu)</t>
  </si>
  <si>
    <t>Odvoz nepotrebnej zeminy (výkop - sp. zásyp); 8,50-2,0</t>
  </si>
  <si>
    <t>Betón opory dobetonávka čiel (C30/37); (4,1*29,5+40*2 + 3,55*29,5+33*2)*0,15</t>
  </si>
  <si>
    <t>Debnenie opory (dobetonávka čiel); 4,1*29,5+40*2 + 3,55*29,5+33*2</t>
  </si>
  <si>
    <t>Betonárska výstuž - tyčová; (0,339+0,373)</t>
  </si>
  <si>
    <t xml:space="preserve">Betonárska výstuž - Kari sieť; (1,81+1,995) </t>
  </si>
  <si>
    <t>1105040207</t>
  </si>
  <si>
    <t>Zvislé konštrukcie inžinierskych stavieb, stĺpy, podpery z betónu železového, tr. C 30/37 (B 35)</t>
  </si>
  <si>
    <t>Betón opory rev lavka (C30/37); 56,5*2</t>
  </si>
  <si>
    <t>1105041101</t>
  </si>
  <si>
    <t>Zvislé konštrukcie inžinierskych stavieb, stĺpy, podpery, debnenie tradičné drevené</t>
  </si>
  <si>
    <t>Debnenie revíznej lávky; (0,95+0,25+0,1+1,65)*(29,1+29,15)+(0,95+0,25+0,1)*(6,395+6,37)+0,96*1,65*4+0,25*(0,95*4)</t>
  </si>
  <si>
    <t>1105042106</t>
  </si>
  <si>
    <t>Zvislé konštrukcie inžinierskych stavieb, stĺpy, podpery, výstuž z betonárskej ocele 10505</t>
  </si>
  <si>
    <t>Betonárska výstuž – úložný prah a rev. lavka; (6,03+0,091+6,04+0,091) ton</t>
  </si>
  <si>
    <t>1105051101</t>
  </si>
  <si>
    <t>Zvislé konštrukcie inžinierskych stavieb, úložné prahy, debnenie tradičné drevené</t>
  </si>
  <si>
    <t>Debnenie ložiskových bločkov; 0,56*4*0,35*72</t>
  </si>
  <si>
    <t>2125042204</t>
  </si>
  <si>
    <t>Doplňujúce konštrukcie, dilatačné zariadenia, výplň dilatačných škár z polystyrénu</t>
  </si>
  <si>
    <t>Pružná vložka 20mm – dilatácia bočnej rev. lávky; 0,95*0,3*2</t>
  </si>
  <si>
    <t>Štrk pod betónovu rovnaninu skruže (hr. 250 mm); (14,9+13,2)*2,5*2*0,25</t>
  </si>
  <si>
    <t>Betónová rovnanina z cestných panelov pod podpernu skruž; (14,9+13,2)*2,5*2</t>
  </si>
  <si>
    <t>Zábradlie pri revíznych schodoch z kompozitu, vrátane upevnenia chem. kotvami (208 ks), dl. (7,39+3,8+2,34+29,94+0,77+7,435)+(5,61+3,8+2,34+29,94+0,77+7,435) m</t>
  </si>
  <si>
    <t>0202017401</t>
  </si>
  <si>
    <t>Vrty pre kotvenie, injektáž, mikropilóty a monitoring na povrchu, tr.horniny IV, D do 13 mm</t>
  </si>
  <si>
    <t xml:space="preserve">Vŕtanie a lepenie výstuže do betónu – kotvenie uložneho prahu – priemer vrtu 12, hĺbka vrtu 310mm; 1022 ks*0,21 m </t>
  </si>
  <si>
    <t xml:space="preserve">Vŕtanie a lepenie výstuže do betónu – priemer vrtu 12, hĺbka vrtu 110mm; 3844 ks * 0,11 m </t>
  </si>
  <si>
    <t>0202017402</t>
  </si>
  <si>
    <t>Vrty pre kotvenie, injektáž, mikropilóty a monitoring na povrchu, tr.horniny IV, D nad 13 do 56 mm</t>
  </si>
  <si>
    <t xml:space="preserve">Vŕtanie a lepenie výstuže do betónu - kotvenie konzoly – priemer vrtu 14, hĺbka vrtu 470mm; 78 ks *0,47 m </t>
  </si>
  <si>
    <t>02060344</t>
  </si>
  <si>
    <t>Spevňovanie hornín a konštrukcií kotvami v podzemí, lepenými</t>
  </si>
  <si>
    <t xml:space="preserve">Lepenie výstuže do betónu – priemer vrtu 12, hĺbka vrtu 110mm; 3844 ks * 0,11 m </t>
  </si>
  <si>
    <t xml:space="preserve">Lepenie výstuže do betónu - kotvenie konzoly – priemer vrtu 14, hĺbka vrtu 470mm; 78 ks *0,47 m </t>
  </si>
  <si>
    <t>0206108102</t>
  </si>
  <si>
    <t>Spevňovanie hornín a konštrukcií, očistenie plôch vodou, klenieb</t>
  </si>
  <si>
    <t>Čistenie pohladových plôch opôr vodným lúčom; 4,1*29,5+40*2 + 3,55*29,5+33*2</t>
  </si>
  <si>
    <t>Schodisko - debnenie; (4,15+0,8+0,81)*0,75+(4,76+0,5+0,8)*0,75+(4,15+0,8+0,8)*0,75+(4,76+0,5+0,8)*0,75+(2,6+2,4 +2,4+2)*2</t>
  </si>
  <si>
    <t>1109022107</t>
  </si>
  <si>
    <t>Schodisko - betonárska výstuž (KARI siete);0,308 ton</t>
  </si>
  <si>
    <t>Schodisko - štrkopieskový podsyp; (1,9+2,2+2,2+2,2)*1</t>
  </si>
  <si>
    <t xml:space="preserve"> </t>
  </si>
  <si>
    <t>Rekapitulácia stavby</t>
  </si>
  <si>
    <t>Objekt: Most ev. č. D1-329 nad melioračnou priekopou</t>
  </si>
  <si>
    <t>Súpis prác D1-332</t>
  </si>
  <si>
    <t>Súpis prác D1-329</t>
  </si>
  <si>
    <t>Časti stavby D1-329</t>
  </si>
  <si>
    <t>Časti stavby D1-332</t>
  </si>
  <si>
    <t>Podrobný výkaz výmer D1-332</t>
  </si>
  <si>
    <t>Podrobný výkaz výmer D1-329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</si>
  <si>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</si>
  <si>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>Objekt: Most ev. č. D1-332 nad potokom a poľnou cestou</t>
  </si>
  <si>
    <t>Príloha č. 1 k časti A.2</t>
  </si>
  <si>
    <t>Uchádzačom navrhovaná  celková cena za realizáciu predmetu zákazky  vyjadrená v eurách bez DPH</t>
  </si>
  <si>
    <t>Príloha č.1 k časti B2 (zároveň Príloha č.2 k Zmluve)</t>
  </si>
  <si>
    <t>Výmena ložísk na mostoch ev.č. D1-329 a D1-332</t>
  </si>
  <si>
    <t>Výmena ložísk na mostoch ev. č. D1-329 a D1-332</t>
  </si>
  <si>
    <t xml:space="preserve">Cena celkom </t>
  </si>
  <si>
    <t>Podperná skruž počas výmeny ložísk-pižmo, komplet dodanie vrátane úpravy podložia, betónových panelov, lisov pre zdvíhanie, šetrnej demontáže a spätnej montáže bezpečnostných zariadení, nosnosť jednej skruže 650ton; 1,8*0,5*1+9,6*2*15,7*4=1206,66m3</t>
  </si>
  <si>
    <r>
      <t xml:space="preserve">Ložiska – elastomer – 0,5MN  -  pevné 4ks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vrátane kotvenia ložiska</t>
    </r>
  </si>
  <si>
    <r>
      <t xml:space="preserve">Ložiska – elastomer – 0,5MN  -  jednosmerné 26ks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 vrátane kotvenia ložiska</t>
    </r>
  </si>
  <si>
    <r>
      <t xml:space="preserve">Ložiska – elastomer – 0,5MN  - všesmerné 43ks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 vrátane kotvenia ložiska</t>
    </r>
  </si>
  <si>
    <r>
      <t xml:space="preserve">Ložiska – elastomer – 500 kN  -  pevne 6ks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vrátane kotvenia ložiska</t>
    </r>
  </si>
  <si>
    <r>
      <t xml:space="preserve">Ložiska – elastomer – 500 kN  -   jednosmerne 30+6 ks 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vrátane kotvenia ložiska</t>
    </r>
  </si>
  <si>
    <r>
      <t xml:space="preserve">Ložiska – elastomer – 500 kN  - všesmerné 30ks
</t>
    </r>
    <r>
      <rPr>
        <i/>
        <sz val="8"/>
        <color rgb="FFFF0000"/>
        <rFont val="Arial"/>
        <family val="2"/>
        <charset val="238"/>
      </rPr>
      <t>Vrátane vyrovnania odrezanej časti podložiskových blokov plastmaltou hr. 15-50mm zdola a 15-50mm zhora v zmysle kotvenia vybraného typu ložiska, vrátane kotvenia ložiska</t>
    </r>
  </si>
  <si>
    <t>Podperná skruž počas výmeny ložísk-pižmo, komplet dodanie vrátane úpravy podložia, betónových panelov, lisov pre zdvíhanie,  šetrnej demontáže a spätnej montáže bezpečnostných zariadení, nosnosť jednej skruže 450ton; (14,9+13,2)*2*5,5*2=618,20</t>
  </si>
  <si>
    <r>
      <t xml:space="preserve">Lepenie výstuže do betónu – kotvenie uložneho prahu – priemer vrtu 12, hĺbka vrtu </t>
    </r>
    <r>
      <rPr>
        <i/>
        <sz val="8"/>
        <color rgb="FFFF0000"/>
        <rFont val="Arial"/>
        <family val="2"/>
        <charset val="238"/>
      </rPr>
      <t>210</t>
    </r>
    <r>
      <rPr>
        <i/>
        <sz val="8"/>
        <rFont val="Arial"/>
        <family val="2"/>
        <charset val="238"/>
      </rPr>
      <t xml:space="preserve">mm; 1022 ks*0,21 m </t>
    </r>
  </si>
  <si>
    <t>45.22.11</t>
  </si>
  <si>
    <t>Zvislé konštrukcie inžinierskych stavieb rímsy betón železový</t>
  </si>
  <si>
    <t>11050602</t>
  </si>
  <si>
    <t>Zvislé konštrukcie inžinierskych stavieb, úložné prahy z betónu železového</t>
  </si>
  <si>
    <t>Betónové podstavce pod ložiskami : 0,56*0,56*0,27*72=6,01m3</t>
  </si>
  <si>
    <t>11050502</t>
  </si>
  <si>
    <r>
      <t>Schodiskové konštrukcie, stupne z betónu železového, tr. C</t>
    </r>
    <r>
      <rPr>
        <sz val="8"/>
        <color rgb="FFFF0000"/>
        <rFont val="Arial"/>
        <family val="2"/>
        <charset val="238"/>
      </rPr>
      <t xml:space="preserve"> 30/37 (B 35)</t>
    </r>
  </si>
  <si>
    <t>1109020207</t>
  </si>
  <si>
    <t>Schodiskové konštrukcie, stupne z betónu železového, tr. C 30/37 (B 35)</t>
  </si>
  <si>
    <r>
      <t xml:space="preserve">Schodisko - betón </t>
    </r>
    <r>
      <rPr>
        <i/>
        <sz val="8"/>
        <color rgb="FFFF0000"/>
        <rFont val="Arial"/>
        <family val="2"/>
        <charset val="238"/>
      </rPr>
      <t>(C30/37)</t>
    </r>
    <r>
      <rPr>
        <i/>
        <sz val="8"/>
        <rFont val="Arial"/>
        <family val="2"/>
        <charset val="238"/>
      </rPr>
      <t>; (2,6+2,4 +2,4+2)*(0,75+0,175)</t>
    </r>
  </si>
  <si>
    <r>
      <t xml:space="preserve">Schodisko - betón </t>
    </r>
    <r>
      <rPr>
        <i/>
        <sz val="8"/>
        <color rgb="FFFF0000"/>
        <rFont val="Arial"/>
        <family val="2"/>
        <charset val="238"/>
      </rPr>
      <t>(C30/37)</t>
    </r>
    <r>
      <rPr>
        <i/>
        <sz val="8"/>
        <rFont val="Arial"/>
        <family val="2"/>
        <charset val="238"/>
      </rPr>
      <t>; (5,425+5,72)*0,75</t>
    </r>
  </si>
  <si>
    <t>Zvislé konštrukcie inžinierskych stavieb rímsy betón železový, tr. C35/45 (B40)</t>
  </si>
  <si>
    <t>Zvislé konštrukcie inžinierskych stavieb, úložné prahy z betónu železového, tr. C35/45 (B40)</t>
  </si>
  <si>
    <t>1105050208</t>
  </si>
  <si>
    <t>1105060208</t>
  </si>
  <si>
    <t>Spevnená plocha pred a za rímsami: (4,92+4,92)*0,25=2,46m3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</si>
</sst>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#\ ##0.00"/>
    <numFmt numFmtId="165" formatCode="#,##0.00\ &quot;€&quot;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el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Ariel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3" fillId="0" borderId="0"/>
    <xf numFmtId="0" fontId="5" fillId="0" borderId="0"/>
    <xf numFmtId="0" fontId="3" fillId="3" borderId="0"/>
    <xf numFmtId="0" fontId="6" fillId="2" borderId="0"/>
    <xf numFmtId="0" fontId="7" fillId="0" borderId="0"/>
    <xf numFmtId="0" fontId="6" fillId="0" borderId="0"/>
    <xf numFmtId="0" fontId="27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3" xfId="3" applyFont="1" applyBorder="1" applyAlignment="1">
      <alignment horizontal="center"/>
    </xf>
    <xf numFmtId="43" fontId="9" fillId="0" borderId="0" xfId="1" applyFont="1" applyBorder="1" applyAlignment="1">
      <alignment wrapText="1"/>
    </xf>
    <xf numFmtId="0" fontId="4" fillId="0" borderId="0" xfId="3" quotePrefix="1" applyFont="1"/>
    <xf numFmtId="0" fontId="4" fillId="0" borderId="3" xfId="3" quotePrefix="1" applyFont="1" applyBorder="1"/>
    <xf numFmtId="49" fontId="10" fillId="0" borderId="3" xfId="0" quotePrefix="1" applyNumberFormat="1" applyFont="1" applyBorder="1" applyAlignment="1">
      <alignment horizontal="left" vertical="top"/>
    </xf>
    <xf numFmtId="164" fontId="4" fillId="0" borderId="8" xfId="3" applyNumberFormat="1" applyFont="1" applyBorder="1"/>
    <xf numFmtId="0" fontId="11" fillId="0" borderId="0" xfId="0" applyFont="1"/>
    <xf numFmtId="0" fontId="13" fillId="0" borderId="1" xfId="2" applyFont="1" applyFill="1" applyBorder="1"/>
    <xf numFmtId="43" fontId="13" fillId="0" borderId="1" xfId="1" applyFont="1" applyFill="1" applyBorder="1"/>
    <xf numFmtId="0" fontId="13" fillId="0" borderId="3" xfId="2" applyFont="1" applyFill="1" applyBorder="1"/>
    <xf numFmtId="0" fontId="14" fillId="0" borderId="0" xfId="3" applyFont="1" applyAlignment="1">
      <alignment wrapText="1"/>
    </xf>
    <xf numFmtId="0" fontId="14" fillId="0" borderId="3" xfId="3" applyFont="1" applyBorder="1" applyAlignment="1">
      <alignment wrapText="1"/>
    </xf>
    <xf numFmtId="43" fontId="13" fillId="0" borderId="0" xfId="1" applyFont="1" applyFill="1" applyBorder="1"/>
    <xf numFmtId="0" fontId="13" fillId="0" borderId="3" xfId="2" applyFont="1" applyFill="1" applyBorder="1" applyAlignment="1">
      <alignment horizontal="center" vertical="center"/>
    </xf>
    <xf numFmtId="0" fontId="4" fillId="0" borderId="3" xfId="3" applyFont="1" applyBorder="1" applyAlignment="1">
      <alignment wrapText="1"/>
    </xf>
    <xf numFmtId="0" fontId="4" fillId="0" borderId="0" xfId="3" applyFont="1" applyAlignment="1">
      <alignment wrapText="1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wrapText="1"/>
    </xf>
    <xf numFmtId="0" fontId="15" fillId="0" borderId="3" xfId="3" applyFont="1" applyBorder="1" applyAlignment="1">
      <alignment wrapText="1"/>
    </xf>
    <xf numFmtId="43" fontId="15" fillId="0" borderId="0" xfId="1" applyFont="1" applyBorder="1" applyAlignment="1">
      <alignment wrapText="1"/>
    </xf>
    <xf numFmtId="0" fontId="15" fillId="0" borderId="3" xfId="3" applyFont="1" applyBorder="1" applyAlignment="1">
      <alignment horizontal="right" wrapText="1"/>
    </xf>
    <xf numFmtId="2" fontId="8" fillId="0" borderId="0" xfId="3" applyNumberFormat="1" applyFont="1" applyAlignment="1">
      <alignment horizontal="center"/>
    </xf>
    <xf numFmtId="0" fontId="8" fillId="0" borderId="3" xfId="3" quotePrefix="1" applyFont="1" applyBorder="1"/>
    <xf numFmtId="0" fontId="8" fillId="0" borderId="0" xfId="3" quotePrefix="1" applyFont="1"/>
    <xf numFmtId="0" fontId="8" fillId="0" borderId="3" xfId="3" applyFont="1" applyBorder="1" applyAlignment="1">
      <alignment wrapText="1"/>
    </xf>
    <xf numFmtId="43" fontId="8" fillId="0" borderId="0" xfId="1" applyFont="1" applyBorder="1" applyAlignment="1">
      <alignment wrapText="1"/>
    </xf>
    <xf numFmtId="0" fontId="8" fillId="0" borderId="3" xfId="3" applyFont="1" applyBorder="1" applyAlignment="1">
      <alignment horizontal="center" vertical="center"/>
    </xf>
    <xf numFmtId="43" fontId="4" fillId="0" borderId="0" xfId="1" applyFont="1" applyBorder="1" applyAlignment="1">
      <alignment wrapText="1"/>
    </xf>
    <xf numFmtId="0" fontId="4" fillId="0" borderId="4" xfId="3" applyFont="1" applyBorder="1" applyAlignment="1">
      <alignment wrapText="1"/>
    </xf>
    <xf numFmtId="0" fontId="4" fillId="0" borderId="9" xfId="3" quotePrefix="1" applyFont="1" applyBorder="1"/>
    <xf numFmtId="0" fontId="4" fillId="0" borderId="4" xfId="3" quotePrefix="1" applyFont="1" applyBorder="1"/>
    <xf numFmtId="0" fontId="4" fillId="0" borderId="9" xfId="3" applyFont="1" applyBorder="1" applyAlignment="1">
      <alignment wrapText="1"/>
    </xf>
    <xf numFmtId="0" fontId="4" fillId="0" borderId="4" xfId="3" applyFont="1" applyBorder="1" applyAlignment="1">
      <alignment horizontal="center" vertical="center"/>
    </xf>
    <xf numFmtId="164" fontId="4" fillId="0" borderId="10" xfId="3" applyNumberFormat="1" applyFont="1" applyBorder="1"/>
    <xf numFmtId="0" fontId="4" fillId="0" borderId="2" xfId="3" applyFont="1" applyBorder="1"/>
    <xf numFmtId="0" fontId="14" fillId="0" borderId="11" xfId="3" applyFont="1" applyBorder="1" applyAlignment="1">
      <alignment wrapText="1"/>
    </xf>
    <xf numFmtId="0" fontId="14" fillId="0" borderId="12" xfId="3" applyFont="1" applyBorder="1" applyAlignment="1">
      <alignment wrapText="1"/>
    </xf>
    <xf numFmtId="43" fontId="8" fillId="0" borderId="11" xfId="1" applyFont="1" applyBorder="1" applyAlignment="1">
      <alignment wrapText="1"/>
    </xf>
    <xf numFmtId="0" fontId="4" fillId="0" borderId="2" xfId="3" applyFont="1" applyBorder="1" applyAlignment="1">
      <alignment horizontal="center"/>
    </xf>
    <xf numFmtId="164" fontId="4" fillId="0" borderId="12" xfId="3" applyNumberFormat="1" applyFont="1" applyBorder="1"/>
    <xf numFmtId="0" fontId="4" fillId="0" borderId="3" xfId="3" applyFont="1" applyBorder="1" applyAlignment="1">
      <alignment horizontal="center" vertical="center" wrapText="1"/>
    </xf>
    <xf numFmtId="0" fontId="8" fillId="0" borderId="8" xfId="3" applyFont="1" applyBorder="1" applyAlignment="1">
      <alignment wrapText="1"/>
    </xf>
    <xf numFmtId="0" fontId="8" fillId="0" borderId="3" xfId="3" applyFont="1" applyBorder="1" applyAlignment="1">
      <alignment horizontal="center"/>
    </xf>
    <xf numFmtId="0" fontId="4" fillId="0" borderId="8" xfId="3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5" fillId="0" borderId="8" xfId="3" applyFont="1" applyBorder="1" applyAlignment="1">
      <alignment horizontal="right" wrapText="1"/>
    </xf>
    <xf numFmtId="0" fontId="15" fillId="0" borderId="8" xfId="3" applyFont="1" applyBorder="1" applyAlignment="1">
      <alignment wrapText="1"/>
    </xf>
    <xf numFmtId="0" fontId="11" fillId="0" borderId="3" xfId="0" applyFont="1" applyBorder="1"/>
    <xf numFmtId="0" fontId="8" fillId="0" borderId="0" xfId="3" applyFont="1" applyAlignment="1">
      <alignment horizontal="center"/>
    </xf>
    <xf numFmtId="0" fontId="14" fillId="0" borderId="8" xfId="3" applyFont="1" applyBorder="1" applyAlignment="1">
      <alignment wrapText="1"/>
    </xf>
    <xf numFmtId="2" fontId="15" fillId="0" borderId="3" xfId="0" applyNumberFormat="1" applyFont="1" applyBorder="1" applyAlignment="1">
      <alignment horizontal="center" wrapText="1"/>
    </xf>
    <xf numFmtId="2" fontId="8" fillId="0" borderId="3" xfId="3" applyNumberFormat="1" applyFont="1" applyBorder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right" wrapText="1"/>
    </xf>
    <xf numFmtId="2" fontId="8" fillId="0" borderId="9" xfId="3" applyNumberFormat="1" applyFont="1" applyBorder="1" applyAlignment="1">
      <alignment horizontal="center"/>
    </xf>
    <xf numFmtId="2" fontId="8" fillId="0" borderId="4" xfId="3" applyNumberFormat="1" applyFont="1" applyBorder="1" applyAlignment="1">
      <alignment horizontal="center"/>
    </xf>
    <xf numFmtId="0" fontId="13" fillId="0" borderId="8" xfId="2" applyFont="1" applyFill="1" applyBorder="1"/>
    <xf numFmtId="164" fontId="8" fillId="0" borderId="8" xfId="3" applyNumberFormat="1" applyFont="1" applyBorder="1"/>
    <xf numFmtId="0" fontId="4" fillId="0" borderId="13" xfId="3" quotePrefix="1" applyFont="1" applyBorder="1"/>
    <xf numFmtId="0" fontId="4" fillId="0" borderId="14" xfId="3" quotePrefix="1" applyFont="1" applyBorder="1"/>
    <xf numFmtId="0" fontId="8" fillId="0" borderId="14" xfId="3" quotePrefix="1" applyFont="1" applyBorder="1"/>
    <xf numFmtId="0" fontId="4" fillId="0" borderId="15" xfId="3" quotePrefix="1" applyFont="1" applyBorder="1"/>
    <xf numFmtId="0" fontId="4" fillId="0" borderId="2" xfId="3" quotePrefix="1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Alignment="1" applyProtection="1">
      <alignment vertical="center"/>
      <protection locked="0"/>
    </xf>
    <xf numFmtId="0" fontId="6" fillId="2" borderId="1" xfId="6" applyBorder="1" applyProtection="1"/>
    <xf numFmtId="0" fontId="6" fillId="2" borderId="1" xfId="6" applyBorder="1" applyAlignment="1" applyProtection="1">
      <alignment horizontal="center"/>
    </xf>
    <xf numFmtId="0" fontId="0" fillId="0" borderId="0" xfId="0" applyProtection="1"/>
    <xf numFmtId="0" fontId="7" fillId="0" borderId="1" xfId="7" quotePrefix="1" applyBorder="1" applyProtection="1"/>
    <xf numFmtId="0" fontId="7" fillId="0" borderId="1" xfId="7" applyBorder="1" applyProtection="1"/>
    <xf numFmtId="0" fontId="7" fillId="0" borderId="1" xfId="7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2" fillId="2" borderId="5" xfId="2" applyBorder="1" applyProtection="1"/>
    <xf numFmtId="0" fontId="0" fillId="0" borderId="3" xfId="0" applyBorder="1" applyProtection="1"/>
    <xf numFmtId="0" fontId="2" fillId="2" borderId="7" xfId="2" applyBorder="1" applyAlignment="1" applyProtection="1">
      <alignment horizontal="center"/>
    </xf>
    <xf numFmtId="0" fontId="2" fillId="2" borderId="1" xfId="2" applyBorder="1" applyAlignment="1" applyProtection="1">
      <alignment horizontal="center"/>
    </xf>
    <xf numFmtId="43" fontId="0" fillId="0" borderId="0" xfId="1" applyFont="1" applyProtection="1"/>
    <xf numFmtId="0" fontId="3" fillId="0" borderId="2" xfId="3" applyBorder="1" applyAlignment="1" applyProtection="1">
      <alignment wrapText="1"/>
    </xf>
    <xf numFmtId="0" fontId="3" fillId="0" borderId="1" xfId="3" quotePrefix="1" applyBorder="1" applyProtection="1"/>
    <xf numFmtId="0" fontId="3" fillId="0" borderId="1" xfId="3" applyBorder="1" applyAlignment="1" applyProtection="1">
      <alignment wrapText="1"/>
    </xf>
    <xf numFmtId="0" fontId="3" fillId="0" borderId="1" xfId="3" applyBorder="1" applyProtection="1"/>
    <xf numFmtId="164" fontId="3" fillId="0" borderId="5" xfId="3" applyNumberFormat="1" applyBorder="1" applyProtection="1"/>
    <xf numFmtId="164" fontId="3" fillId="0" borderId="1" xfId="3" applyNumberFormat="1" applyBorder="1" applyProtection="1"/>
    <xf numFmtId="0" fontId="3" fillId="0" borderId="3" xfId="3" applyBorder="1" applyAlignment="1" applyProtection="1">
      <alignment wrapText="1"/>
    </xf>
    <xf numFmtId="0" fontId="3" fillId="0" borderId="4" xfId="3" applyBorder="1" applyAlignment="1" applyProtection="1">
      <alignment wrapText="1"/>
    </xf>
    <xf numFmtId="164" fontId="3" fillId="0" borderId="3" xfId="3" applyNumberFormat="1" applyBorder="1" applyProtection="1"/>
    <xf numFmtId="0" fontId="4" fillId="0" borderId="1" xfId="3" quotePrefix="1" applyFont="1" applyBorder="1" applyProtection="1"/>
    <xf numFmtId="0" fontId="4" fillId="0" borderId="1" xfId="3" applyFont="1" applyBorder="1" applyAlignment="1" applyProtection="1">
      <alignment wrapText="1"/>
    </xf>
    <xf numFmtId="0" fontId="4" fillId="0" borderId="1" xfId="3" applyFont="1" applyBorder="1" applyProtection="1"/>
    <xf numFmtId="164" fontId="4" fillId="0" borderId="1" xfId="3" applyNumberFormat="1" applyFont="1" applyBorder="1" applyProtection="1"/>
    <xf numFmtId="164" fontId="4" fillId="0" borderId="3" xfId="3" applyNumberFormat="1" applyFont="1" applyBorder="1" applyProtection="1"/>
    <xf numFmtId="164" fontId="0" fillId="0" borderId="0" xfId="0" applyNumberFormat="1" applyProtection="1"/>
    <xf numFmtId="164" fontId="5" fillId="0" borderId="1" xfId="3" applyNumberFormat="1" applyFont="1" applyBorder="1" applyProtection="1"/>
    <xf numFmtId="164" fontId="5" fillId="0" borderId="1" xfId="4" applyNumberFormat="1" applyBorder="1" applyProtection="1"/>
    <xf numFmtId="164" fontId="17" fillId="0" borderId="1" xfId="4" applyNumberFormat="1" applyFont="1" applyBorder="1" applyProtection="1"/>
    <xf numFmtId="0" fontId="11" fillId="0" borderId="0" xfId="0" applyFont="1" applyAlignment="1" applyProtection="1"/>
    <xf numFmtId="0" fontId="19" fillId="0" borderId="0" xfId="0" applyFont="1" applyAlignment="1" applyProtection="1">
      <alignment horizontal="left" vertical="center"/>
    </xf>
    <xf numFmtId="0" fontId="21" fillId="0" borderId="16" xfId="0" applyFont="1" applyBorder="1" applyAlignment="1" applyProtection="1">
      <alignment vertical="center" wrapText="1"/>
    </xf>
    <xf numFmtId="0" fontId="21" fillId="0" borderId="19" xfId="0" applyFont="1" applyBorder="1" applyAlignment="1" applyProtection="1">
      <alignment vertical="center" wrapText="1"/>
    </xf>
    <xf numFmtId="0" fontId="21" fillId="0" borderId="21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11" fillId="0" borderId="0" xfId="0" applyFont="1" applyProtection="1"/>
    <xf numFmtId="165" fontId="25" fillId="0" borderId="1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165" fontId="0" fillId="0" borderId="0" xfId="0" applyNumberFormat="1" applyBorder="1" applyAlignment="1" applyProtection="1">
      <alignment horizontal="center" vertical="center"/>
    </xf>
    <xf numFmtId="0" fontId="11" fillId="0" borderId="0" xfId="9" applyFont="1" applyAlignment="1" applyProtection="1">
      <alignment vertical="center"/>
    </xf>
    <xf numFmtId="0" fontId="28" fillId="0" borderId="0" xfId="0" applyFont="1" applyProtection="1"/>
    <xf numFmtId="0" fontId="22" fillId="0" borderId="0" xfId="0" applyFont="1" applyAlignment="1" applyProtection="1"/>
    <xf numFmtId="0" fontId="7" fillId="0" borderId="1" xfId="7" applyBorder="1" applyAlignment="1" applyProtection="1">
      <alignment horizontal="center"/>
    </xf>
    <xf numFmtId="0" fontId="6" fillId="0" borderId="1" xfId="7" applyFont="1" applyBorder="1" applyProtection="1"/>
    <xf numFmtId="0" fontId="2" fillId="0" borderId="3" xfId="2" applyFill="1" applyBorder="1" applyProtection="1"/>
    <xf numFmtId="0" fontId="3" fillId="0" borderId="7" xfId="3" quotePrefix="1" applyBorder="1" applyProtection="1"/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2" xfId="2" applyFont="1" applyBorder="1" applyAlignment="1">
      <alignment vertical="center"/>
    </xf>
    <xf numFmtId="0" fontId="13" fillId="2" borderId="2" xfId="2" applyFont="1" applyBorder="1" applyAlignment="1">
      <alignment horizontal="center" vertical="center" wrapText="1"/>
    </xf>
    <xf numFmtId="0" fontId="13" fillId="2" borderId="2" xfId="2" applyFont="1" applyBorder="1" applyAlignment="1">
      <alignment horizontal="center" vertical="center"/>
    </xf>
    <xf numFmtId="0" fontId="13" fillId="0" borderId="2" xfId="2" applyFont="1" applyFill="1" applyBorder="1" applyAlignment="1">
      <alignment horizontal="center"/>
    </xf>
    <xf numFmtId="0" fontId="4" fillId="0" borderId="11" xfId="3" quotePrefix="1" applyFont="1" applyBorder="1"/>
    <xf numFmtId="0" fontId="14" fillId="0" borderId="2" xfId="3" applyFont="1" applyBorder="1" applyAlignment="1">
      <alignment wrapText="1"/>
    </xf>
    <xf numFmtId="0" fontId="13" fillId="0" borderId="11" xfId="2" applyFont="1" applyFill="1" applyBorder="1"/>
    <xf numFmtId="0" fontId="13" fillId="0" borderId="12" xfId="2" applyFont="1" applyFill="1" applyBorder="1" applyAlignment="1">
      <alignment horizontal="right"/>
    </xf>
    <xf numFmtId="0" fontId="8" fillId="0" borderId="0" xfId="3" applyFont="1" applyAlignment="1">
      <alignment wrapText="1"/>
    </xf>
    <xf numFmtId="43" fontId="8" fillId="0" borderId="3" xfId="1" applyFont="1" applyFill="1" applyBorder="1" applyAlignment="1">
      <alignment horizontal="center" wrapText="1"/>
    </xf>
    <xf numFmtId="0" fontId="8" fillId="0" borderId="8" xfId="3" applyFont="1" applyBorder="1" applyAlignment="1">
      <alignment horizontal="right"/>
    </xf>
    <xf numFmtId="43" fontId="4" fillId="0" borderId="3" xfId="1" applyFont="1" applyFill="1" applyBorder="1" applyAlignment="1">
      <alignment horizontal="center" wrapText="1"/>
    </xf>
    <xf numFmtId="2" fontId="4" fillId="0" borderId="8" xfId="3" applyNumberFormat="1" applyFont="1" applyBorder="1" applyAlignment="1">
      <alignment horizontal="right"/>
    </xf>
    <xf numFmtId="43" fontId="15" fillId="0" borderId="3" xfId="1" applyFont="1" applyBorder="1" applyAlignment="1">
      <alignment wrapText="1"/>
    </xf>
    <xf numFmtId="0" fontId="4" fillId="0" borderId="3" xfId="3" applyFont="1" applyBorder="1" applyAlignment="1">
      <alignment horizontal="right" wrapText="1"/>
    </xf>
    <xf numFmtId="164" fontId="4" fillId="0" borderId="8" xfId="3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164" fontId="8" fillId="0" borderId="8" xfId="3" applyNumberFormat="1" applyFont="1" applyBorder="1" applyAlignment="1">
      <alignment horizontal="right"/>
    </xf>
    <xf numFmtId="43" fontId="15" fillId="0" borderId="3" xfId="1" applyFont="1" applyBorder="1" applyAlignment="1">
      <alignment vertical="center" wrapText="1"/>
    </xf>
    <xf numFmtId="0" fontId="11" fillId="0" borderId="8" xfId="0" applyFont="1" applyBorder="1" applyAlignment="1">
      <alignment horizontal="right"/>
    </xf>
    <xf numFmtId="43" fontId="8" fillId="0" borderId="3" xfId="1" applyFont="1" applyBorder="1" applyAlignment="1">
      <alignment wrapText="1"/>
    </xf>
    <xf numFmtId="164" fontId="8" fillId="0" borderId="3" xfId="3" applyNumberFormat="1" applyFont="1" applyBorder="1"/>
    <xf numFmtId="0" fontId="4" fillId="0" borderId="4" xfId="3" applyFont="1" applyBorder="1" applyAlignment="1">
      <alignment horizontal="center" wrapText="1"/>
    </xf>
    <xf numFmtId="0" fontId="4" fillId="0" borderId="4" xfId="3" applyFont="1" applyBorder="1" applyAlignment="1">
      <alignment horizontal="center"/>
    </xf>
    <xf numFmtId="164" fontId="4" fillId="0" borderId="10" xfId="3" applyNumberFormat="1" applyFont="1" applyBorder="1" applyAlignment="1">
      <alignment horizontal="righ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right"/>
    </xf>
    <xf numFmtId="0" fontId="4" fillId="0" borderId="1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wrapText="1"/>
    </xf>
    <xf numFmtId="0" fontId="4" fillId="0" borderId="11" xfId="3" applyFont="1" applyBorder="1" applyAlignment="1">
      <alignment horizontal="center"/>
    </xf>
    <xf numFmtId="164" fontId="4" fillId="0" borderId="2" xfId="3" applyNumberFormat="1" applyFont="1" applyBorder="1"/>
    <xf numFmtId="43" fontId="11" fillId="0" borderId="0" xfId="1" applyFont="1"/>
    <xf numFmtId="0" fontId="4" fillId="0" borderId="14" xfId="3" applyFont="1" applyBorder="1" applyAlignment="1">
      <alignment horizontal="center" vertical="center" wrapText="1"/>
    </xf>
    <xf numFmtId="43" fontId="4" fillId="0" borderId="3" xfId="1" applyFont="1" applyBorder="1" applyAlignment="1">
      <alignment wrapText="1"/>
    </xf>
    <xf numFmtId="164" fontId="4" fillId="0" borderId="3" xfId="3" applyNumberFormat="1" applyFont="1" applyBorder="1"/>
    <xf numFmtId="0" fontId="1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2" fontId="15" fillId="0" borderId="3" xfId="3" applyNumberFormat="1" applyFont="1" applyBorder="1" applyAlignment="1">
      <alignment horizontal="center"/>
    </xf>
    <xf numFmtId="2" fontId="15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15" fillId="0" borderId="0" xfId="3" applyFont="1" applyAlignment="1">
      <alignment horizontal="right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1" fillId="0" borderId="4" xfId="0" applyFont="1" applyBorder="1"/>
    <xf numFmtId="0" fontId="4" fillId="0" borderId="9" xfId="3" applyFont="1" applyBorder="1" applyAlignment="1">
      <alignment horizontal="right" wrapText="1"/>
    </xf>
    <xf numFmtId="0" fontId="4" fillId="0" borderId="9" xfId="3" applyFont="1" applyBorder="1" applyAlignment="1">
      <alignment horizontal="center"/>
    </xf>
    <xf numFmtId="164" fontId="4" fillId="0" borderId="4" xfId="3" applyNumberFormat="1" applyFont="1" applyBorder="1"/>
    <xf numFmtId="2" fontId="0" fillId="0" borderId="0" xfId="0" applyNumberFormat="1" applyProtection="1"/>
    <xf numFmtId="0" fontId="0" fillId="0" borderId="0" xfId="0" applyNumberFormat="1" applyProtection="1"/>
    <xf numFmtId="0" fontId="18" fillId="0" borderId="0" xfId="0" applyFont="1" applyProtection="1"/>
    <xf numFmtId="2" fontId="18" fillId="0" borderId="0" xfId="0" applyNumberFormat="1" applyFont="1" applyProtection="1"/>
    <xf numFmtId="2" fontId="3" fillId="0" borderId="1" xfId="3" applyNumberFormat="1" applyBorder="1" applyProtection="1"/>
    <xf numFmtId="2" fontId="4" fillId="0" borderId="1" xfId="3" applyNumberFormat="1" applyFont="1" applyBorder="1" applyProtection="1"/>
    <xf numFmtId="2" fontId="3" fillId="3" borderId="7" xfId="3" applyNumberFormat="1" applyFill="1" applyBorder="1" applyProtection="1">
      <protection locked="0"/>
    </xf>
    <xf numFmtId="2" fontId="3" fillId="0" borderId="5" xfId="3" applyNumberFormat="1" applyBorder="1" applyProtection="1"/>
    <xf numFmtId="4" fontId="7" fillId="0" borderId="1" xfId="7" applyNumberFormat="1" applyBorder="1" applyProtection="1"/>
    <xf numFmtId="4" fontId="6" fillId="0" borderId="1" xfId="8" applyNumberFormat="1" applyBorder="1" applyProtection="1"/>
    <xf numFmtId="4" fontId="0" fillId="0" borderId="0" xfId="0" applyNumberFormat="1" applyProtection="1"/>
    <xf numFmtId="4" fontId="31" fillId="0" borderId="24" xfId="0" applyNumberFormat="1" applyFont="1" applyBorder="1" applyProtection="1"/>
    <xf numFmtId="4" fontId="31" fillId="0" borderId="7" xfId="0" applyNumberFormat="1" applyFont="1" applyBorder="1" applyProtection="1"/>
    <xf numFmtId="4" fontId="31" fillId="0" borderId="1" xfId="0" applyNumberFormat="1" applyFont="1" applyBorder="1" applyProtection="1"/>
    <xf numFmtId="164" fontId="3" fillId="3" borderId="1" xfId="5" applyNumberFormat="1" applyBorder="1" applyProtection="1"/>
    <xf numFmtId="165" fontId="24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32" fillId="0" borderId="0" xfId="0" applyFont="1" applyAlignment="1" applyProtection="1">
      <alignment horizontal="right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/>
    <xf numFmtId="0" fontId="35" fillId="0" borderId="0" xfId="0" applyFont="1" applyAlignment="1">
      <alignment horizontal="right"/>
    </xf>
    <xf numFmtId="0" fontId="36" fillId="0" borderId="0" xfId="0" applyFont="1" applyProtection="1"/>
    <xf numFmtId="0" fontId="0" fillId="0" borderId="0" xfId="0" applyFill="1" applyAlignment="1" applyProtection="1">
      <alignment horizontal="right"/>
    </xf>
    <xf numFmtId="0" fontId="11" fillId="0" borderId="0" xfId="0" applyFont="1" applyFill="1" applyAlignment="1" applyProtection="1"/>
    <xf numFmtId="0" fontId="11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1" fillId="3" borderId="1" xfId="9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</xf>
    <xf numFmtId="0" fontId="37" fillId="0" borderId="8" xfId="3" applyFont="1" applyBorder="1" applyAlignment="1">
      <alignment wrapText="1"/>
    </xf>
    <xf numFmtId="0" fontId="37" fillId="0" borderId="0" xfId="3" applyFont="1" applyAlignment="1">
      <alignment wrapText="1"/>
    </xf>
    <xf numFmtId="0" fontId="2" fillId="2" borderId="1" xfId="2" applyBorder="1" applyProtection="1"/>
    <xf numFmtId="0" fontId="13" fillId="0" borderId="1" xfId="2" applyFont="1" applyFill="1" applyBorder="1" applyAlignment="1">
      <alignment horizontal="center"/>
    </xf>
    <xf numFmtId="0" fontId="4" fillId="0" borderId="0" xfId="3" applyFont="1"/>
    <xf numFmtId="164" fontId="4" fillId="0" borderId="0" xfId="3" applyNumberFormat="1" applyFont="1"/>
    <xf numFmtId="0" fontId="38" fillId="0" borderId="1" xfId="3" quotePrefix="1" applyFont="1" applyBorder="1" applyProtection="1"/>
    <xf numFmtId="0" fontId="38" fillId="0" borderId="1" xfId="3" applyFont="1" applyBorder="1" applyAlignment="1" applyProtection="1">
      <alignment wrapText="1"/>
    </xf>
    <xf numFmtId="0" fontId="38" fillId="0" borderId="1" xfId="3" applyFont="1" applyBorder="1" applyProtection="1"/>
    <xf numFmtId="164" fontId="38" fillId="0" borderId="1" xfId="3" applyNumberFormat="1" applyFont="1" applyBorder="1" applyProtection="1"/>
    <xf numFmtId="2" fontId="38" fillId="0" borderId="1" xfId="3" applyNumberFormat="1" applyFont="1" applyBorder="1" applyProtection="1"/>
    <xf numFmtId="0" fontId="38" fillId="0" borderId="3" xfId="3" quotePrefix="1" applyFont="1" applyBorder="1"/>
    <xf numFmtId="0" fontId="38" fillId="0" borderId="0" xfId="3" applyFont="1" applyAlignment="1">
      <alignment wrapText="1"/>
    </xf>
    <xf numFmtId="0" fontId="39" fillId="0" borderId="0" xfId="3" applyFont="1" applyAlignment="1">
      <alignment wrapText="1"/>
    </xf>
    <xf numFmtId="0" fontId="39" fillId="0" borderId="0" xfId="3" quotePrefix="1" applyFont="1"/>
    <xf numFmtId="0" fontId="39" fillId="0" borderId="3" xfId="3" quotePrefix="1" applyFont="1" applyBorder="1"/>
    <xf numFmtId="0" fontId="38" fillId="0" borderId="0" xfId="3" quotePrefix="1" applyFont="1"/>
    <xf numFmtId="43" fontId="39" fillId="0" borderId="3" xfId="1" applyFont="1" applyBorder="1" applyAlignment="1">
      <alignment wrapText="1"/>
    </xf>
    <xf numFmtId="0" fontId="39" fillId="0" borderId="0" xfId="3" applyFont="1" applyAlignment="1">
      <alignment horizontal="center"/>
    </xf>
    <xf numFmtId="164" fontId="39" fillId="0" borderId="3" xfId="3" applyNumberFormat="1" applyFont="1" applyBorder="1"/>
    <xf numFmtId="43" fontId="38" fillId="0" borderId="3" xfId="1" applyFont="1" applyBorder="1" applyAlignment="1">
      <alignment wrapText="1"/>
    </xf>
    <xf numFmtId="0" fontId="38" fillId="0" borderId="0" xfId="3" applyFont="1" applyAlignment="1">
      <alignment horizontal="center"/>
    </xf>
    <xf numFmtId="164" fontId="38" fillId="0" borderId="3" xfId="3" applyNumberFormat="1" applyFont="1" applyBorder="1"/>
    <xf numFmtId="43" fontId="37" fillId="0" borderId="3" xfId="1" applyFont="1" applyBorder="1" applyAlignment="1">
      <alignment wrapText="1"/>
    </xf>
    <xf numFmtId="0" fontId="18" fillId="0" borderId="0" xfId="0" applyFont="1" applyAlignment="1">
      <alignment horizontal="center"/>
    </xf>
    <xf numFmtId="0" fontId="37" fillId="0" borderId="0" xfId="3" applyFont="1" applyAlignment="1">
      <alignment horizontal="right" wrapText="1"/>
    </xf>
    <xf numFmtId="2" fontId="39" fillId="0" borderId="3" xfId="3" applyNumberFormat="1" applyFont="1" applyBorder="1" applyAlignment="1">
      <alignment horizontal="center"/>
    </xf>
    <xf numFmtId="0" fontId="3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9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6" fillId="0" borderId="5" xfId="8" applyBorder="1" applyProtection="1"/>
    <xf numFmtId="0" fontId="6" fillId="0" borderId="6" xfId="8" applyBorder="1" applyProtection="1"/>
    <xf numFmtId="0" fontId="6" fillId="0" borderId="7" xfId="8" applyBorder="1" applyProtection="1"/>
    <xf numFmtId="0" fontId="34" fillId="0" borderId="0" xfId="0" applyFont="1" applyAlignment="1" applyProtection="1">
      <alignment horizontal="center" vertical="center"/>
      <protection locked="0"/>
    </xf>
    <xf numFmtId="0" fontId="31" fillId="0" borderId="1" xfId="0" applyFont="1" applyBorder="1" applyAlignment="1" applyProtection="1"/>
    <xf numFmtId="0" fontId="32" fillId="0" borderId="1" xfId="0" applyFont="1" applyBorder="1" applyAlignment="1" applyProtection="1"/>
    <xf numFmtId="0" fontId="32" fillId="0" borderId="5" xfId="0" applyFont="1" applyBorder="1" applyAlignment="1" applyProtection="1"/>
    <xf numFmtId="0" fontId="2" fillId="2" borderId="1" xfId="2" applyBorder="1" applyProtection="1"/>
    <xf numFmtId="0" fontId="11" fillId="0" borderId="0" xfId="0" applyFont="1" applyAlignment="1" applyProtection="1">
      <alignment horizontal="center" vertical="center"/>
      <protection locked="0"/>
    </xf>
    <xf numFmtId="0" fontId="3" fillId="0" borderId="5" xfId="3" applyBorder="1" applyProtection="1"/>
    <xf numFmtId="0" fontId="3" fillId="0" borderId="6" xfId="3" applyBorder="1" applyProtection="1"/>
    <xf numFmtId="164" fontId="3" fillId="0" borderId="6" xfId="3" applyNumberFormat="1" applyBorder="1" applyProtection="1"/>
    <xf numFmtId="164" fontId="3" fillId="0" borderId="7" xfId="3" applyNumberFormat="1" applyBorder="1" applyProtection="1"/>
    <xf numFmtId="0" fontId="5" fillId="0" borderId="5" xfId="4" applyBorder="1" applyProtection="1"/>
    <xf numFmtId="0" fontId="5" fillId="0" borderId="6" xfId="4" applyBorder="1" applyProtection="1"/>
    <xf numFmtId="164" fontId="5" fillId="0" borderId="7" xfId="4" applyNumberFormat="1" applyBorder="1" applyProtection="1"/>
    <xf numFmtId="0" fontId="13" fillId="0" borderId="1" xfId="2" applyFont="1" applyFill="1" applyBorder="1" applyAlignment="1">
      <alignment horizontal="center"/>
    </xf>
    <xf numFmtId="0" fontId="4" fillId="0" borderId="0" xfId="3" applyFont="1"/>
    <xf numFmtId="164" fontId="4" fillId="0" borderId="0" xfId="3" applyNumberFormat="1" applyFont="1"/>
    <xf numFmtId="0" fontId="14" fillId="0" borderId="0" xfId="3" applyFont="1" applyAlignment="1">
      <alignment horizontal="left"/>
    </xf>
    <xf numFmtId="0" fontId="33" fillId="0" borderId="0" xfId="0" applyFont="1" applyAlignment="1">
      <alignment horizontal="left" vertical="center"/>
    </xf>
    <xf numFmtId="0" fontId="8" fillId="0" borderId="1" xfId="3" applyFont="1" applyBorder="1" applyAlignment="1">
      <alignment horizontal="left" wrapText="1"/>
    </xf>
    <xf numFmtId="0" fontId="13" fillId="2" borderId="5" xfId="2" applyFont="1" applyBorder="1" applyAlignment="1">
      <alignment horizontal="center" vertical="center"/>
    </xf>
    <xf numFmtId="0" fontId="13" fillId="2" borderId="7" xfId="2" applyFont="1" applyBorder="1" applyAlignment="1">
      <alignment horizontal="center" vertical="center"/>
    </xf>
    <xf numFmtId="0" fontId="20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1" fillId="3" borderId="17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2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</cellXfs>
  <cellStyles count="10">
    <cellStyle name="Background_Yellow" xfId="5" xr:uid="{00000000-0005-0000-0000-000000000000}"/>
    <cellStyle name="Čiarka" xfId="1" builtinId="3"/>
    <cellStyle name="Font_Ariel_Normal" xfId="7" xr:uid="{00000000-0005-0000-0000-000002000000}"/>
    <cellStyle name="Font_Ariel_Normal_Bold" xfId="8" xr:uid="{00000000-0005-0000-0000-000003000000}"/>
    <cellStyle name="Font_Ariel_Normal_Bold_BG_Gray" xfId="6" xr:uid="{00000000-0005-0000-0000-000004000000}"/>
    <cellStyle name="Font_Ariel_Small" xfId="3" xr:uid="{00000000-0005-0000-0000-000005000000}"/>
    <cellStyle name="Font_Ariel_Small_Bold" xfId="4" xr:uid="{00000000-0005-0000-0000-000006000000}"/>
    <cellStyle name="Font_Ariel_Small_Bold_BG_Gray" xfId="2" xr:uid="{00000000-0005-0000-0000-000007000000}"/>
    <cellStyle name="Hypertextové prepojenie" xfId="9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zoomScaleSheetLayoutView="115" workbookViewId="0">
      <selection activeCell="D41" sqref="D41"/>
    </sheetView>
  </sheetViews>
  <sheetFormatPr defaultColWidth="8.7265625" defaultRowHeight="14.5"/>
  <cols>
    <col min="1" max="1" width="2.26953125" style="70" customWidth="1"/>
    <col min="2" max="2" width="15.26953125" style="70" bestFit="1" customWidth="1"/>
    <col min="3" max="3" width="16.81640625" style="70" bestFit="1" customWidth="1"/>
    <col min="4" max="4" width="43.453125" style="70" bestFit="1" customWidth="1"/>
    <col min="5" max="7" width="17.26953125" style="70" customWidth="1"/>
    <col min="8" max="8" width="8.7265625" style="70" hidden="1" customWidth="1"/>
    <col min="9" max="16384" width="8.7265625" style="70"/>
  </cols>
  <sheetData>
    <row r="1" spans="2:8">
      <c r="B1" s="181"/>
      <c r="C1" s="181"/>
      <c r="D1" s="181"/>
      <c r="E1" s="181"/>
      <c r="F1" s="181"/>
      <c r="G1" s="182" t="s">
        <v>363</v>
      </c>
    </row>
    <row r="2" spans="2:8">
      <c r="B2" s="181"/>
      <c r="C2" s="181"/>
      <c r="D2" s="181"/>
      <c r="E2" s="181"/>
      <c r="F2" s="181"/>
      <c r="G2" s="182" t="s">
        <v>351</v>
      </c>
    </row>
    <row r="3" spans="2:8">
      <c r="B3" s="181" t="s">
        <v>364</v>
      </c>
      <c r="C3" s="181"/>
      <c r="D3" s="181"/>
      <c r="E3" s="181"/>
      <c r="F3" s="181"/>
      <c r="G3" s="181"/>
    </row>
    <row r="6" spans="2:8">
      <c r="B6" s="68" t="s">
        <v>97</v>
      </c>
      <c r="C6" s="68" t="s">
        <v>98</v>
      </c>
      <c r="D6" s="68" t="s">
        <v>99</v>
      </c>
      <c r="E6" s="69" t="s">
        <v>6</v>
      </c>
      <c r="F6" s="69" t="s">
        <v>241</v>
      </c>
      <c r="G6" s="69" t="s">
        <v>100</v>
      </c>
    </row>
    <row r="7" spans="2:8">
      <c r="B7" s="71" t="s">
        <v>101</v>
      </c>
      <c r="C7" s="72" t="s">
        <v>102</v>
      </c>
      <c r="D7" s="72" t="s">
        <v>103</v>
      </c>
      <c r="E7" s="173">
        <f>'1.časť_B.2_Časti stavby_D1-329'!I12</f>
        <v>0</v>
      </c>
      <c r="F7" s="173">
        <f>ROUND(0.23*E7,2)</f>
        <v>0</v>
      </c>
      <c r="G7" s="173">
        <f>ROUND(E7+F7,2)</f>
        <v>0</v>
      </c>
      <c r="H7" s="70">
        <v>1</v>
      </c>
    </row>
    <row r="8" spans="2:8">
      <c r="B8" s="71" t="s">
        <v>261</v>
      </c>
      <c r="C8" s="73">
        <v>2141</v>
      </c>
      <c r="D8" s="112" t="s">
        <v>105</v>
      </c>
      <c r="E8" s="173">
        <f>'1.časť_B.2_Časti stavby_D1-329'!I47</f>
        <v>0</v>
      </c>
      <c r="F8" s="173">
        <f>ROUND(0.23*E8,2)</f>
        <v>0</v>
      </c>
      <c r="G8" s="173">
        <f>ROUND(E8+F8,2)</f>
        <v>0</v>
      </c>
      <c r="H8" s="70">
        <v>1</v>
      </c>
    </row>
    <row r="9" spans="2:8">
      <c r="B9" s="225" t="s">
        <v>86</v>
      </c>
      <c r="C9" s="226"/>
      <c r="D9" s="227"/>
      <c r="E9" s="174">
        <f>SUMIF(H7:H8,1,E7:E8)</f>
        <v>0</v>
      </c>
      <c r="F9" s="174">
        <f>SUMIF(H7:H8,1,F7:F8)</f>
        <v>0</v>
      </c>
      <c r="G9" s="174">
        <f>SUMIF(H7:H8,1,G7:G8)</f>
        <v>0</v>
      </c>
    </row>
    <row r="10" spans="2:8" ht="9" customHeight="1">
      <c r="E10" s="175"/>
      <c r="F10" s="175"/>
      <c r="G10" s="175"/>
    </row>
    <row r="11" spans="2:8">
      <c r="B11" s="71" t="s">
        <v>101</v>
      </c>
      <c r="C11" s="72" t="s">
        <v>102</v>
      </c>
      <c r="D11" s="72" t="s">
        <v>103</v>
      </c>
      <c r="E11" s="173">
        <f>'1.časť_B.2_Časti stavby_D1-332'!I12</f>
        <v>0</v>
      </c>
      <c r="F11" s="173">
        <f>ROUND(0.23*E11,2)</f>
        <v>0</v>
      </c>
      <c r="G11" s="173">
        <f>ROUND(E11+F11,2)</f>
        <v>0</v>
      </c>
    </row>
    <row r="12" spans="2:8">
      <c r="B12" s="71" t="s">
        <v>259</v>
      </c>
      <c r="C12" s="111">
        <v>2141</v>
      </c>
      <c r="D12" s="112" t="s">
        <v>260</v>
      </c>
      <c r="E12" s="173">
        <f>'1.časť_B.2_Časti stavby_D1-332'!I53</f>
        <v>0</v>
      </c>
      <c r="F12" s="173">
        <f>ROUND(0.23*E12,2)</f>
        <v>0</v>
      </c>
      <c r="G12" s="173">
        <f>ROUND(E12+F12,2)</f>
        <v>0</v>
      </c>
    </row>
    <row r="13" spans="2:8">
      <c r="B13" s="225" t="s">
        <v>86</v>
      </c>
      <c r="C13" s="226"/>
      <c r="D13" s="227"/>
      <c r="E13" s="174">
        <f>SUM(E11:E12)</f>
        <v>0</v>
      </c>
      <c r="F13" s="174">
        <f>SUM(F11:F12)</f>
        <v>0</v>
      </c>
      <c r="G13" s="174">
        <f>SUM(G11:G12)</f>
        <v>0</v>
      </c>
    </row>
    <row r="14" spans="2:8" ht="7.5" customHeight="1" thickBot="1">
      <c r="E14" s="175"/>
      <c r="F14" s="175"/>
      <c r="G14" s="175"/>
    </row>
    <row r="15" spans="2:8" ht="15" thickBot="1">
      <c r="B15" s="229" t="s">
        <v>366</v>
      </c>
      <c r="C15" s="230"/>
      <c r="D15" s="231"/>
      <c r="E15" s="176">
        <f>ROUND(E9+E13,2)</f>
        <v>0</v>
      </c>
      <c r="F15" s="177">
        <f>F9+F13</f>
        <v>0</v>
      </c>
      <c r="G15" s="178">
        <f>G9+G13</f>
        <v>0</v>
      </c>
    </row>
    <row r="17" spans="1:6">
      <c r="A17" s="221"/>
      <c r="B17" s="220"/>
      <c r="C17" s="220"/>
      <c r="D17" s="220"/>
      <c r="E17" s="220"/>
      <c r="F17" s="220"/>
    </row>
    <row r="18" spans="1:6">
      <c r="A18" s="221"/>
      <c r="B18" s="220"/>
      <c r="C18" s="220"/>
      <c r="D18" s="220"/>
      <c r="E18" s="220"/>
      <c r="F18" s="220"/>
    </row>
    <row r="19" spans="1:6">
      <c r="A19" s="221"/>
      <c r="B19" s="183" t="s">
        <v>240</v>
      </c>
      <c r="C19" s="220"/>
      <c r="D19" s="220"/>
      <c r="E19" s="228" t="s">
        <v>237</v>
      </c>
      <c r="F19" s="228"/>
    </row>
    <row r="20" spans="1:6">
      <c r="A20" s="221"/>
      <c r="B20" s="220"/>
      <c r="C20" s="220"/>
      <c r="D20" s="220"/>
      <c r="E20" s="228" t="s">
        <v>238</v>
      </c>
      <c r="F20" s="228"/>
    </row>
    <row r="21" spans="1:6">
      <c r="A21" s="221"/>
      <c r="B21" s="220"/>
      <c r="C21" s="220"/>
      <c r="D21" s="220"/>
      <c r="E21" s="228" t="s">
        <v>239</v>
      </c>
      <c r="F21" s="228"/>
    </row>
    <row r="22" spans="1:6">
      <c r="A22" s="221"/>
      <c r="B22" s="221"/>
      <c r="C22" s="221"/>
      <c r="D22" s="221"/>
      <c r="E22" s="221"/>
      <c r="F22" s="221"/>
    </row>
  </sheetData>
  <sheetProtection algorithmName="SHA-512" hashValue="USc2Rr1gpRLaP+0Bre9s3fdPLSF8ZvJo66x/bxaLSjW6ZzvXDWF8ztj6EkYY8SLNUTA7Meq5C5+pIL/Gf6ip+w==" saltValue="9duHMCdslJxaEApBT2kqXg==" spinCount="100000" sheet="1" objects="1" scenarios="1"/>
  <mergeCells count="6">
    <mergeCell ref="B9:D9"/>
    <mergeCell ref="E19:F19"/>
    <mergeCell ref="E20:F20"/>
    <mergeCell ref="E21:F21"/>
    <mergeCell ref="B13:D13"/>
    <mergeCell ref="B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X53"/>
  <sheetViews>
    <sheetView zoomScale="85" zoomScaleNormal="85" zoomScaleSheetLayoutView="85" workbookViewId="0">
      <selection activeCell="Q30" sqref="Q30"/>
    </sheetView>
  </sheetViews>
  <sheetFormatPr defaultColWidth="8.7265625" defaultRowHeight="14.5"/>
  <cols>
    <col min="1" max="1" width="2.26953125" style="70" customWidth="1"/>
    <col min="2" max="2" width="30.7265625" style="70" customWidth="1"/>
    <col min="3" max="3" width="7.81640625" style="70" bestFit="1" customWidth="1"/>
    <col min="4" max="4" width="10.81640625" style="70" bestFit="1" customWidth="1"/>
    <col min="5" max="5" width="50.7265625" style="70" customWidth="1"/>
    <col min="6" max="6" width="8.1796875" style="70" bestFit="1" customWidth="1"/>
    <col min="7" max="7" width="8.7265625" style="70" bestFit="1" customWidth="1"/>
    <col min="8" max="8" width="0.81640625" style="70" customWidth="1"/>
    <col min="9" max="9" width="17.26953125" style="70" customWidth="1"/>
    <col min="10" max="11" width="17.26953125" style="70" hidden="1" customWidth="1"/>
    <col min="12" max="12" width="8.7265625" style="70"/>
    <col min="13" max="13" width="11.453125" style="79" bestFit="1" customWidth="1"/>
    <col min="14" max="16384" width="8.7265625" style="70"/>
  </cols>
  <sheetData>
    <row r="1" spans="2:24">
      <c r="B1" s="181"/>
      <c r="C1" s="181"/>
      <c r="D1" s="181"/>
      <c r="E1" s="181"/>
      <c r="F1" s="181"/>
      <c r="G1" s="181"/>
      <c r="H1" s="181"/>
      <c r="I1" s="182" t="s">
        <v>363</v>
      </c>
      <c r="X1" s="74"/>
    </row>
    <row r="2" spans="2:24">
      <c r="B2" s="181"/>
      <c r="C2" s="181"/>
      <c r="D2" s="181"/>
      <c r="E2" s="181"/>
      <c r="F2" s="181"/>
      <c r="G2" s="181"/>
      <c r="H2" s="181"/>
      <c r="I2" s="182" t="s">
        <v>354</v>
      </c>
      <c r="X2" s="74"/>
    </row>
    <row r="3" spans="2:24">
      <c r="B3" s="181" t="s">
        <v>364</v>
      </c>
      <c r="C3" s="181"/>
      <c r="D3" s="181"/>
      <c r="E3" s="181"/>
      <c r="F3" s="181"/>
      <c r="G3" s="181"/>
      <c r="H3" s="181"/>
      <c r="I3" s="181"/>
    </row>
    <row r="4" spans="2:24">
      <c r="B4" s="181" t="s">
        <v>352</v>
      </c>
      <c r="C4" s="181"/>
      <c r="D4" s="181"/>
      <c r="E4" s="181"/>
      <c r="F4" s="181"/>
      <c r="G4" s="181"/>
      <c r="H4" s="181"/>
      <c r="I4" s="181"/>
    </row>
    <row r="7" spans="2:24">
      <c r="B7" s="195" t="s">
        <v>87</v>
      </c>
      <c r="C7" s="232" t="s">
        <v>1</v>
      </c>
      <c r="D7" s="232"/>
      <c r="E7" s="195" t="s">
        <v>2</v>
      </c>
      <c r="F7" s="195" t="s">
        <v>3</v>
      </c>
      <c r="G7" s="75" t="s">
        <v>4</v>
      </c>
      <c r="H7" s="76"/>
      <c r="I7" s="77" t="s">
        <v>5</v>
      </c>
      <c r="J7" s="78" t="s">
        <v>241</v>
      </c>
      <c r="K7" s="78" t="s">
        <v>88</v>
      </c>
    </row>
    <row r="8" spans="2:24" ht="21.5">
      <c r="B8" s="80" t="s">
        <v>7</v>
      </c>
      <c r="C8" s="81" t="s">
        <v>8</v>
      </c>
      <c r="D8" s="81" t="s">
        <v>9</v>
      </c>
      <c r="E8" s="82" t="s">
        <v>10</v>
      </c>
      <c r="F8" s="83" t="s">
        <v>11</v>
      </c>
      <c r="G8" s="84">
        <v>108.56</v>
      </c>
      <c r="H8" s="76"/>
      <c r="I8" s="171"/>
      <c r="J8" s="85">
        <f>ROUNDDOWN(I8*0.23,2)</f>
        <v>0</v>
      </c>
      <c r="K8" s="85">
        <f t="shared" ref="K8:K46" si="0">I8+J8</f>
        <v>0</v>
      </c>
    </row>
    <row r="9" spans="2:24">
      <c r="B9" s="86"/>
      <c r="C9" s="81" t="s">
        <v>8</v>
      </c>
      <c r="D9" s="81" t="s">
        <v>12</v>
      </c>
      <c r="E9" s="82" t="s">
        <v>13</v>
      </c>
      <c r="F9" s="83" t="s">
        <v>14</v>
      </c>
      <c r="G9" s="84">
        <v>53.5</v>
      </c>
      <c r="H9" s="76"/>
      <c r="I9" s="171"/>
      <c r="J9" s="85">
        <f t="shared" ref="J9:J46" si="1">ROUNDDOWN(I9*0.23,2)</f>
        <v>0</v>
      </c>
      <c r="K9" s="85">
        <f t="shared" si="0"/>
        <v>0</v>
      </c>
    </row>
    <row r="10" spans="2:24" ht="21.5">
      <c r="B10" s="86"/>
      <c r="C10" s="81" t="s">
        <v>8</v>
      </c>
      <c r="D10" s="81" t="s">
        <v>15</v>
      </c>
      <c r="E10" s="82" t="s">
        <v>16</v>
      </c>
      <c r="F10" s="83" t="s">
        <v>22</v>
      </c>
      <c r="G10" s="84">
        <v>1</v>
      </c>
      <c r="H10" s="76"/>
      <c r="I10" s="171"/>
      <c r="J10" s="85">
        <f t="shared" si="1"/>
        <v>0</v>
      </c>
      <c r="K10" s="85">
        <f t="shared" si="0"/>
        <v>0</v>
      </c>
    </row>
    <row r="11" spans="2:24" ht="21.5">
      <c r="B11" s="86"/>
      <c r="C11" s="81" t="s">
        <v>8</v>
      </c>
      <c r="D11" s="81" t="s">
        <v>18</v>
      </c>
      <c r="E11" s="82" t="s">
        <v>19</v>
      </c>
      <c r="F11" s="83" t="s">
        <v>22</v>
      </c>
      <c r="G11" s="84">
        <v>1</v>
      </c>
      <c r="H11" s="76"/>
      <c r="I11" s="171"/>
      <c r="J11" s="85">
        <f t="shared" si="1"/>
        <v>0</v>
      </c>
      <c r="K11" s="85">
        <f t="shared" si="0"/>
        <v>0</v>
      </c>
    </row>
    <row r="12" spans="2:24" ht="21.5">
      <c r="B12" s="87"/>
      <c r="C12" s="81" t="s">
        <v>8</v>
      </c>
      <c r="D12" s="81" t="s">
        <v>20</v>
      </c>
      <c r="E12" s="82" t="s">
        <v>21</v>
      </c>
      <c r="F12" s="83" t="s">
        <v>22</v>
      </c>
      <c r="G12" s="84">
        <v>1</v>
      </c>
      <c r="H12" s="88"/>
      <c r="I12" s="171"/>
      <c r="J12" s="85">
        <f t="shared" si="1"/>
        <v>0</v>
      </c>
      <c r="K12" s="85">
        <f t="shared" si="0"/>
        <v>0</v>
      </c>
    </row>
    <row r="13" spans="2:24">
      <c r="B13" s="80" t="s">
        <v>89</v>
      </c>
      <c r="C13" s="81" t="s">
        <v>25</v>
      </c>
      <c r="D13" s="81" t="s">
        <v>224</v>
      </c>
      <c r="E13" s="82" t="s">
        <v>228</v>
      </c>
      <c r="F13" s="83" t="s">
        <v>14</v>
      </c>
      <c r="G13" s="85">
        <v>9.9</v>
      </c>
      <c r="H13" s="88"/>
      <c r="I13" s="171"/>
      <c r="J13" s="85">
        <f t="shared" si="1"/>
        <v>0</v>
      </c>
      <c r="K13" s="85">
        <f t="shared" si="0"/>
        <v>0</v>
      </c>
    </row>
    <row r="14" spans="2:24">
      <c r="B14" s="76"/>
      <c r="C14" s="89" t="s">
        <v>25</v>
      </c>
      <c r="D14" s="89" t="s">
        <v>26</v>
      </c>
      <c r="E14" s="90" t="s">
        <v>27</v>
      </c>
      <c r="F14" s="91" t="s">
        <v>17</v>
      </c>
      <c r="G14" s="92">
        <v>157.5</v>
      </c>
      <c r="H14" s="93"/>
      <c r="I14" s="171"/>
      <c r="J14" s="85">
        <f t="shared" si="1"/>
        <v>0</v>
      </c>
      <c r="K14" s="85">
        <f t="shared" si="0"/>
        <v>0</v>
      </c>
      <c r="X14" s="70" t="s">
        <v>350</v>
      </c>
    </row>
    <row r="15" spans="2:24">
      <c r="B15" s="86"/>
      <c r="C15" s="89" t="s">
        <v>25</v>
      </c>
      <c r="D15" s="89" t="s">
        <v>226</v>
      </c>
      <c r="E15" s="90" t="s">
        <v>227</v>
      </c>
      <c r="F15" s="91" t="s">
        <v>28</v>
      </c>
      <c r="G15" s="92">
        <v>73</v>
      </c>
      <c r="H15" s="93"/>
      <c r="I15" s="171"/>
      <c r="J15" s="85">
        <f t="shared" si="1"/>
        <v>0</v>
      </c>
      <c r="K15" s="85">
        <f t="shared" si="0"/>
        <v>0</v>
      </c>
    </row>
    <row r="16" spans="2:24">
      <c r="B16" s="86"/>
      <c r="C16" s="89" t="s">
        <v>25</v>
      </c>
      <c r="D16" s="89" t="s">
        <v>29</v>
      </c>
      <c r="E16" s="90" t="s">
        <v>30</v>
      </c>
      <c r="F16" s="91" t="s">
        <v>11</v>
      </c>
      <c r="G16" s="92">
        <v>112.94</v>
      </c>
      <c r="H16" s="93"/>
      <c r="I16" s="171"/>
      <c r="J16" s="85">
        <f t="shared" si="1"/>
        <v>0</v>
      </c>
      <c r="K16" s="85">
        <f t="shared" si="0"/>
        <v>0</v>
      </c>
    </row>
    <row r="17" spans="2:11">
      <c r="B17" s="86"/>
      <c r="C17" s="81" t="s">
        <v>25</v>
      </c>
      <c r="D17" s="81" t="s">
        <v>31</v>
      </c>
      <c r="E17" s="82" t="s">
        <v>32</v>
      </c>
      <c r="F17" s="83" t="s">
        <v>17</v>
      </c>
      <c r="G17" s="85">
        <v>36.5</v>
      </c>
      <c r="H17" s="93"/>
      <c r="I17" s="171"/>
      <c r="J17" s="85">
        <f t="shared" si="1"/>
        <v>0</v>
      </c>
      <c r="K17" s="85">
        <f t="shared" si="0"/>
        <v>0</v>
      </c>
    </row>
    <row r="18" spans="2:11" ht="21.5">
      <c r="B18" s="80" t="s">
        <v>90</v>
      </c>
      <c r="C18" s="89" t="s">
        <v>34</v>
      </c>
      <c r="D18" s="89" t="s">
        <v>35</v>
      </c>
      <c r="E18" s="90" t="s">
        <v>36</v>
      </c>
      <c r="F18" s="91" t="s">
        <v>17</v>
      </c>
      <c r="G18" s="92">
        <v>300</v>
      </c>
      <c r="H18" s="93"/>
      <c r="I18" s="171"/>
      <c r="J18" s="85">
        <f t="shared" si="1"/>
        <v>0</v>
      </c>
      <c r="K18" s="85">
        <f t="shared" si="0"/>
        <v>0</v>
      </c>
    </row>
    <row r="19" spans="2:11">
      <c r="B19" s="86"/>
      <c r="C19" s="89" t="s">
        <v>34</v>
      </c>
      <c r="D19" s="89" t="s">
        <v>37</v>
      </c>
      <c r="E19" s="90" t="s">
        <v>38</v>
      </c>
      <c r="F19" s="91" t="s">
        <v>39</v>
      </c>
      <c r="G19" s="92">
        <v>10</v>
      </c>
      <c r="H19" s="93"/>
      <c r="I19" s="171"/>
      <c r="J19" s="85">
        <f t="shared" si="1"/>
        <v>0</v>
      </c>
      <c r="K19" s="85">
        <f t="shared" si="0"/>
        <v>0</v>
      </c>
    </row>
    <row r="20" spans="2:11">
      <c r="B20" s="86"/>
      <c r="C20" s="89" t="s">
        <v>34</v>
      </c>
      <c r="D20" s="89" t="s">
        <v>40</v>
      </c>
      <c r="E20" s="90" t="s">
        <v>41</v>
      </c>
      <c r="F20" s="91" t="s">
        <v>39</v>
      </c>
      <c r="G20" s="92">
        <v>10</v>
      </c>
      <c r="H20" s="93"/>
      <c r="I20" s="171"/>
      <c r="J20" s="85">
        <f t="shared" si="1"/>
        <v>0</v>
      </c>
      <c r="K20" s="85">
        <f t="shared" si="0"/>
        <v>0</v>
      </c>
    </row>
    <row r="21" spans="2:11">
      <c r="B21" s="86"/>
      <c r="C21" s="89" t="s">
        <v>34</v>
      </c>
      <c r="D21" s="89" t="s">
        <v>42</v>
      </c>
      <c r="E21" s="90" t="s">
        <v>43</v>
      </c>
      <c r="F21" s="91" t="s">
        <v>14</v>
      </c>
      <c r="G21" s="92">
        <v>71.099999999999994</v>
      </c>
      <c r="H21" s="93"/>
      <c r="I21" s="171"/>
      <c r="J21" s="85">
        <f t="shared" si="1"/>
        <v>0</v>
      </c>
      <c r="K21" s="85">
        <f t="shared" si="0"/>
        <v>0</v>
      </c>
    </row>
    <row r="22" spans="2:11">
      <c r="B22" s="86"/>
      <c r="C22" s="89" t="s">
        <v>34</v>
      </c>
      <c r="D22" s="89" t="s">
        <v>44</v>
      </c>
      <c r="E22" s="90" t="s">
        <v>45</v>
      </c>
      <c r="F22" s="91" t="s">
        <v>14</v>
      </c>
      <c r="G22" s="92">
        <v>17.600000000000001</v>
      </c>
      <c r="H22" s="93"/>
      <c r="I22" s="171"/>
      <c r="J22" s="85">
        <f t="shared" si="1"/>
        <v>0</v>
      </c>
      <c r="K22" s="85">
        <f t="shared" si="0"/>
        <v>0</v>
      </c>
    </row>
    <row r="23" spans="2:11">
      <c r="B23" s="86"/>
      <c r="C23" s="89" t="s">
        <v>34</v>
      </c>
      <c r="D23" s="89" t="s">
        <v>46</v>
      </c>
      <c r="E23" s="90" t="s">
        <v>47</v>
      </c>
      <c r="F23" s="91" t="s">
        <v>17</v>
      </c>
      <c r="G23" s="92">
        <v>300</v>
      </c>
      <c r="H23" s="93"/>
      <c r="I23" s="171"/>
      <c r="J23" s="85">
        <f t="shared" si="1"/>
        <v>0</v>
      </c>
      <c r="K23" s="85">
        <f t="shared" si="0"/>
        <v>0</v>
      </c>
    </row>
    <row r="24" spans="2:11">
      <c r="B24" s="86"/>
      <c r="C24" s="89" t="s">
        <v>34</v>
      </c>
      <c r="D24" s="89" t="s">
        <v>46</v>
      </c>
      <c r="E24" s="90" t="s">
        <v>47</v>
      </c>
      <c r="F24" s="91" t="s">
        <v>39</v>
      </c>
      <c r="G24" s="92">
        <v>10</v>
      </c>
      <c r="H24" s="93"/>
      <c r="I24" s="171"/>
      <c r="J24" s="85">
        <f t="shared" si="1"/>
        <v>0</v>
      </c>
      <c r="K24" s="85">
        <f t="shared" si="0"/>
        <v>0</v>
      </c>
    </row>
    <row r="25" spans="2:11">
      <c r="B25" s="86"/>
      <c r="C25" s="89" t="s">
        <v>34</v>
      </c>
      <c r="D25" s="89" t="s">
        <v>46</v>
      </c>
      <c r="E25" s="90" t="s">
        <v>47</v>
      </c>
      <c r="F25" s="91" t="s">
        <v>14</v>
      </c>
      <c r="G25" s="92">
        <v>53.5</v>
      </c>
      <c r="H25" s="93"/>
      <c r="I25" s="171"/>
      <c r="J25" s="85">
        <f t="shared" si="1"/>
        <v>0</v>
      </c>
      <c r="K25" s="85">
        <f t="shared" si="0"/>
        <v>0</v>
      </c>
    </row>
    <row r="26" spans="2:11">
      <c r="B26" s="80" t="s">
        <v>91</v>
      </c>
      <c r="C26" s="89" t="s">
        <v>48</v>
      </c>
      <c r="D26" s="89" t="s">
        <v>49</v>
      </c>
      <c r="E26" s="90" t="s">
        <v>50</v>
      </c>
      <c r="F26" s="91" t="s">
        <v>14</v>
      </c>
      <c r="G26" s="92">
        <v>22.2</v>
      </c>
      <c r="H26" s="93"/>
      <c r="I26" s="171"/>
      <c r="J26" s="85">
        <f t="shared" si="1"/>
        <v>0</v>
      </c>
      <c r="K26" s="85">
        <f t="shared" si="0"/>
        <v>0</v>
      </c>
    </row>
    <row r="27" spans="2:11">
      <c r="B27" s="86"/>
      <c r="C27" s="89" t="s">
        <v>48</v>
      </c>
      <c r="D27" s="89" t="s">
        <v>51</v>
      </c>
      <c r="E27" s="90" t="s">
        <v>52</v>
      </c>
      <c r="F27" s="91" t="s">
        <v>17</v>
      </c>
      <c r="G27" s="92">
        <v>148</v>
      </c>
      <c r="H27" s="93"/>
      <c r="I27" s="171"/>
      <c r="J27" s="85">
        <f t="shared" si="1"/>
        <v>0</v>
      </c>
      <c r="K27" s="85">
        <f t="shared" si="0"/>
        <v>0</v>
      </c>
    </row>
    <row r="28" spans="2:11" ht="26.5" customHeight="1">
      <c r="B28" s="86"/>
      <c r="C28" s="89" t="s">
        <v>48</v>
      </c>
      <c r="D28" s="89" t="s">
        <v>53</v>
      </c>
      <c r="E28" s="90" t="s">
        <v>54</v>
      </c>
      <c r="F28" s="91" t="s">
        <v>11</v>
      </c>
      <c r="G28" s="92">
        <v>2.04</v>
      </c>
      <c r="H28" s="93"/>
      <c r="I28" s="171"/>
      <c r="J28" s="85">
        <f t="shared" si="1"/>
        <v>0</v>
      </c>
      <c r="K28" s="85">
        <f t="shared" si="0"/>
        <v>0</v>
      </c>
    </row>
    <row r="29" spans="2:11" ht="31" customHeight="1">
      <c r="B29" s="86"/>
      <c r="C29" s="89" t="s">
        <v>48</v>
      </c>
      <c r="D29" s="89" t="s">
        <v>55</v>
      </c>
      <c r="E29" s="90" t="s">
        <v>233</v>
      </c>
      <c r="F29" s="91" t="s">
        <v>39</v>
      </c>
      <c r="G29" s="92">
        <v>4</v>
      </c>
      <c r="H29" s="93"/>
      <c r="I29" s="171"/>
      <c r="J29" s="85">
        <f t="shared" si="1"/>
        <v>0</v>
      </c>
      <c r="K29" s="85">
        <f t="shared" si="0"/>
        <v>0</v>
      </c>
    </row>
    <row r="30" spans="2:11" ht="21.5">
      <c r="B30" s="86"/>
      <c r="C30" s="89" t="s">
        <v>230</v>
      </c>
      <c r="D30" s="89" t="s">
        <v>55</v>
      </c>
      <c r="E30" s="90" t="s">
        <v>234</v>
      </c>
      <c r="F30" s="91" t="s">
        <v>39</v>
      </c>
      <c r="G30" s="92">
        <v>26</v>
      </c>
      <c r="H30" s="93"/>
      <c r="I30" s="171"/>
      <c r="J30" s="85">
        <f t="shared" si="1"/>
        <v>0</v>
      </c>
      <c r="K30" s="85">
        <f t="shared" si="0"/>
        <v>0</v>
      </c>
    </row>
    <row r="31" spans="2:11" ht="21.5">
      <c r="B31" s="86"/>
      <c r="C31" s="89" t="s">
        <v>231</v>
      </c>
      <c r="D31" s="89" t="s">
        <v>55</v>
      </c>
      <c r="E31" s="90" t="s">
        <v>235</v>
      </c>
      <c r="F31" s="91" t="s">
        <v>39</v>
      </c>
      <c r="G31" s="92">
        <v>43</v>
      </c>
      <c r="H31" s="93"/>
      <c r="I31" s="171"/>
      <c r="J31" s="85">
        <f t="shared" si="1"/>
        <v>0</v>
      </c>
      <c r="K31" s="85">
        <f t="shared" si="0"/>
        <v>0</v>
      </c>
    </row>
    <row r="32" spans="2:11">
      <c r="B32" s="86"/>
      <c r="C32" s="89" t="s">
        <v>48</v>
      </c>
      <c r="D32" s="89" t="s">
        <v>57</v>
      </c>
      <c r="E32" s="90" t="s">
        <v>58</v>
      </c>
      <c r="F32" s="91" t="s">
        <v>14</v>
      </c>
      <c r="G32" s="92">
        <v>1206.6600000000001</v>
      </c>
      <c r="H32" s="93"/>
      <c r="I32" s="171"/>
      <c r="J32" s="85">
        <f t="shared" si="1"/>
        <v>0</v>
      </c>
      <c r="K32" s="85">
        <f t="shared" si="0"/>
        <v>0</v>
      </c>
    </row>
    <row r="33" spans="1:11" ht="32.5" customHeight="1">
      <c r="B33" s="86"/>
      <c r="C33" s="81" t="s">
        <v>48</v>
      </c>
      <c r="D33" s="81" t="s">
        <v>70</v>
      </c>
      <c r="E33" s="82" t="s">
        <v>71</v>
      </c>
      <c r="F33" s="83" t="s">
        <v>17</v>
      </c>
      <c r="G33" s="85">
        <v>0.91</v>
      </c>
      <c r="H33" s="88"/>
      <c r="I33" s="171"/>
      <c r="J33" s="85">
        <f t="shared" si="1"/>
        <v>0</v>
      </c>
      <c r="K33" s="85">
        <f t="shared" si="0"/>
        <v>0</v>
      </c>
    </row>
    <row r="34" spans="1:11" ht="31.5">
      <c r="B34" s="80" t="s">
        <v>92</v>
      </c>
      <c r="C34" s="89" t="s">
        <v>59</v>
      </c>
      <c r="D34" s="89" t="s">
        <v>60</v>
      </c>
      <c r="E34" s="90" t="s">
        <v>61</v>
      </c>
      <c r="F34" s="91" t="s">
        <v>14</v>
      </c>
      <c r="G34" s="92">
        <v>39.4</v>
      </c>
      <c r="H34" s="93"/>
      <c r="I34" s="171"/>
      <c r="J34" s="85">
        <f t="shared" si="1"/>
        <v>0</v>
      </c>
      <c r="K34" s="85">
        <f t="shared" si="0"/>
        <v>0</v>
      </c>
    </row>
    <row r="35" spans="1:11">
      <c r="B35" s="86"/>
      <c r="C35" s="89" t="s">
        <v>59</v>
      </c>
      <c r="D35" s="89" t="s">
        <v>62</v>
      </c>
      <c r="E35" s="90" t="s">
        <v>63</v>
      </c>
      <c r="F35" s="91" t="s">
        <v>17</v>
      </c>
      <c r="G35" s="92">
        <v>157.5</v>
      </c>
      <c r="H35" s="93"/>
      <c r="I35" s="171"/>
      <c r="J35" s="85">
        <f t="shared" si="1"/>
        <v>0</v>
      </c>
      <c r="K35" s="85">
        <f t="shared" si="0"/>
        <v>0</v>
      </c>
    </row>
    <row r="36" spans="1:11" ht="21.5">
      <c r="B36" s="80" t="s">
        <v>93</v>
      </c>
      <c r="C36" s="89" t="s">
        <v>64</v>
      </c>
      <c r="D36" s="89" t="s">
        <v>65</v>
      </c>
      <c r="E36" s="90" t="s">
        <v>66</v>
      </c>
      <c r="F36" s="91" t="s">
        <v>33</v>
      </c>
      <c r="G36" s="92">
        <v>41</v>
      </c>
      <c r="H36" s="93"/>
      <c r="I36" s="171"/>
      <c r="J36" s="85">
        <f t="shared" si="1"/>
        <v>0</v>
      </c>
      <c r="K36" s="85">
        <f t="shared" si="0"/>
        <v>0</v>
      </c>
    </row>
    <row r="37" spans="1:11" ht="31.5">
      <c r="B37" s="80" t="s">
        <v>95</v>
      </c>
      <c r="C37" s="89" t="s">
        <v>72</v>
      </c>
      <c r="D37" s="89" t="s">
        <v>73</v>
      </c>
      <c r="E37" s="90" t="s">
        <v>74</v>
      </c>
      <c r="F37" s="91" t="s">
        <v>17</v>
      </c>
      <c r="G37" s="92">
        <v>3.6</v>
      </c>
      <c r="H37" s="93"/>
      <c r="I37" s="171"/>
      <c r="J37" s="85">
        <f t="shared" si="1"/>
        <v>0</v>
      </c>
      <c r="K37" s="85">
        <f t="shared" si="0"/>
        <v>0</v>
      </c>
    </row>
    <row r="38" spans="1:11">
      <c r="B38" s="86"/>
      <c r="C38" s="89" t="s">
        <v>72</v>
      </c>
      <c r="D38" s="89" t="s">
        <v>75</v>
      </c>
      <c r="E38" s="90" t="s">
        <v>76</v>
      </c>
      <c r="F38" s="91" t="s">
        <v>17</v>
      </c>
      <c r="G38" s="92">
        <v>130.5</v>
      </c>
      <c r="H38" s="93"/>
      <c r="I38" s="171"/>
      <c r="J38" s="85">
        <f t="shared" si="1"/>
        <v>0</v>
      </c>
      <c r="K38" s="85">
        <f t="shared" si="0"/>
        <v>0</v>
      </c>
    </row>
    <row r="39" spans="1:11">
      <c r="B39" s="80" t="s">
        <v>109</v>
      </c>
      <c r="C39" s="81" t="s">
        <v>106</v>
      </c>
      <c r="D39" s="81" t="s">
        <v>110</v>
      </c>
      <c r="E39" s="82" t="s">
        <v>108</v>
      </c>
      <c r="F39" s="83" t="s">
        <v>111</v>
      </c>
      <c r="G39" s="85">
        <v>50</v>
      </c>
      <c r="H39" s="94"/>
      <c r="I39" s="171"/>
      <c r="J39" s="179">
        <v>7</v>
      </c>
      <c r="K39" s="179">
        <v>7</v>
      </c>
    </row>
    <row r="40" spans="1:11" ht="26.25" customHeight="1">
      <c r="B40" s="80" t="s">
        <v>96</v>
      </c>
      <c r="C40" s="89" t="s">
        <v>67</v>
      </c>
      <c r="D40" s="89" t="s">
        <v>203</v>
      </c>
      <c r="E40" s="90" t="s">
        <v>204</v>
      </c>
      <c r="F40" s="91" t="s">
        <v>33</v>
      </c>
      <c r="G40" s="92">
        <v>196.68</v>
      </c>
      <c r="H40" s="93"/>
      <c r="I40" s="171"/>
      <c r="J40" s="85">
        <f t="shared" si="1"/>
        <v>0</v>
      </c>
      <c r="K40" s="85">
        <f t="shared" si="0"/>
        <v>0</v>
      </c>
    </row>
    <row r="41" spans="1:11" ht="22.4" customHeight="1">
      <c r="B41" s="80"/>
      <c r="C41" s="89" t="s">
        <v>67</v>
      </c>
      <c r="D41" s="89" t="s">
        <v>68</v>
      </c>
      <c r="E41" s="90" t="s">
        <v>69</v>
      </c>
      <c r="F41" s="91" t="s">
        <v>39</v>
      </c>
      <c r="G41" s="92">
        <v>1788</v>
      </c>
      <c r="H41" s="93"/>
      <c r="I41" s="171"/>
      <c r="J41" s="85">
        <f t="shared" si="1"/>
        <v>0</v>
      </c>
      <c r="K41" s="85">
        <f t="shared" si="0"/>
        <v>0</v>
      </c>
    </row>
    <row r="42" spans="1:11" ht="22.4" customHeight="1">
      <c r="B42" s="80"/>
      <c r="C42" s="89" t="s">
        <v>67</v>
      </c>
      <c r="D42" s="89" t="s">
        <v>211</v>
      </c>
      <c r="E42" s="90" t="s">
        <v>212</v>
      </c>
      <c r="F42" s="91" t="s">
        <v>17</v>
      </c>
      <c r="G42" s="92">
        <v>148</v>
      </c>
      <c r="H42" s="93"/>
      <c r="I42" s="171"/>
      <c r="J42" s="85">
        <f t="shared" si="1"/>
        <v>0</v>
      </c>
      <c r="K42" s="85">
        <f t="shared" si="0"/>
        <v>0</v>
      </c>
    </row>
    <row r="43" spans="1:11">
      <c r="B43" s="80" t="s">
        <v>94</v>
      </c>
      <c r="C43" s="89" t="s">
        <v>77</v>
      </c>
      <c r="D43" s="89" t="s">
        <v>78</v>
      </c>
      <c r="E43" s="90" t="s">
        <v>79</v>
      </c>
      <c r="F43" s="91" t="s">
        <v>14</v>
      </c>
      <c r="G43" s="92">
        <v>8.36</v>
      </c>
      <c r="H43" s="93"/>
      <c r="I43" s="171"/>
      <c r="J43" s="85">
        <f t="shared" si="1"/>
        <v>0</v>
      </c>
      <c r="K43" s="85">
        <f t="shared" si="0"/>
        <v>0</v>
      </c>
    </row>
    <row r="44" spans="1:11">
      <c r="B44" s="86"/>
      <c r="C44" s="89" t="s">
        <v>77</v>
      </c>
      <c r="D44" s="89" t="s">
        <v>80</v>
      </c>
      <c r="E44" s="90" t="s">
        <v>81</v>
      </c>
      <c r="F44" s="91" t="s">
        <v>17</v>
      </c>
      <c r="G44" s="92">
        <v>37.950000000000003</v>
      </c>
      <c r="H44" s="93"/>
      <c r="I44" s="171"/>
      <c r="J44" s="85">
        <f t="shared" si="1"/>
        <v>0</v>
      </c>
      <c r="K44" s="85">
        <f t="shared" si="0"/>
        <v>0</v>
      </c>
    </row>
    <row r="45" spans="1:11">
      <c r="B45" s="86"/>
      <c r="C45" s="89" t="s">
        <v>77</v>
      </c>
      <c r="D45" s="89" t="s">
        <v>82</v>
      </c>
      <c r="E45" s="90" t="s">
        <v>83</v>
      </c>
      <c r="F45" s="91" t="s">
        <v>11</v>
      </c>
      <c r="G45" s="92">
        <v>0.47</v>
      </c>
      <c r="H45" s="93"/>
      <c r="I45" s="171"/>
      <c r="J45" s="85">
        <f t="shared" si="1"/>
        <v>0</v>
      </c>
      <c r="K45" s="85">
        <f t="shared" si="0"/>
        <v>0</v>
      </c>
    </row>
    <row r="46" spans="1:11">
      <c r="B46" s="87"/>
      <c r="C46" s="89" t="s">
        <v>77</v>
      </c>
      <c r="D46" s="89" t="s">
        <v>84</v>
      </c>
      <c r="E46" s="90" t="s">
        <v>85</v>
      </c>
      <c r="F46" s="91" t="s">
        <v>14</v>
      </c>
      <c r="G46" s="92">
        <v>11</v>
      </c>
      <c r="H46" s="93"/>
      <c r="I46" s="171"/>
      <c r="J46" s="85">
        <f t="shared" si="1"/>
        <v>0</v>
      </c>
      <c r="K46" s="85">
        <f t="shared" si="0"/>
        <v>0</v>
      </c>
    </row>
    <row r="48" spans="1:11">
      <c r="A48" s="221"/>
      <c r="B48" s="221"/>
      <c r="C48" s="221"/>
      <c r="D48" s="221"/>
      <c r="E48" s="221"/>
      <c r="F48" s="221"/>
      <c r="I48" s="94"/>
    </row>
    <row r="49" spans="1:13">
      <c r="A49" s="221"/>
      <c r="B49" s="221"/>
      <c r="C49" s="221"/>
      <c r="D49" s="221"/>
      <c r="E49" s="221"/>
      <c r="F49" s="221"/>
      <c r="G49" s="94"/>
    </row>
    <row r="50" spans="1:13">
      <c r="A50" s="221"/>
      <c r="B50" s="67" t="s">
        <v>240</v>
      </c>
      <c r="C50" s="221"/>
      <c r="D50" s="221"/>
      <c r="E50" s="233" t="s">
        <v>237</v>
      </c>
      <c r="F50" s="233"/>
      <c r="M50" s="70"/>
    </row>
    <row r="51" spans="1:13">
      <c r="A51" s="221"/>
      <c r="B51" s="221"/>
      <c r="C51" s="221"/>
      <c r="D51" s="221"/>
      <c r="E51" s="233" t="s">
        <v>238</v>
      </c>
      <c r="F51" s="233"/>
      <c r="M51" s="70"/>
    </row>
    <row r="52" spans="1:13">
      <c r="A52" s="221"/>
      <c r="B52" s="221"/>
      <c r="C52" s="221"/>
      <c r="D52" s="221"/>
      <c r="E52" s="233" t="s">
        <v>239</v>
      </c>
      <c r="F52" s="233"/>
      <c r="M52" s="70"/>
    </row>
    <row r="53" spans="1:13">
      <c r="A53" s="221"/>
      <c r="B53" s="221"/>
      <c r="C53" s="221"/>
      <c r="D53" s="221"/>
      <c r="E53" s="221"/>
      <c r="F53" s="221"/>
    </row>
  </sheetData>
  <sheetProtection algorithmName="SHA-512" hashValue="gCh8R3pV+l86V/EgXy3rAGyWKizZkYGLWDlc3mJTFz0sVFy6zupXsFMkxKDkrCNRb2D1Mf+9aQjbRg+lL/QzgQ==" saltValue="jVnm/BUsadSLQSmsSINCRA==" spinCount="100000" sheet="1" objects="1" scenarios="1"/>
  <mergeCells count="4">
    <mergeCell ref="C7:D7"/>
    <mergeCell ref="E50:F50"/>
    <mergeCell ref="E51:F51"/>
    <mergeCell ref="E52:F52"/>
  </mergeCell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55"/>
  <sheetViews>
    <sheetView zoomScale="85" zoomScaleNormal="85" zoomScaleSheetLayoutView="70" workbookViewId="0">
      <selection activeCell="O18" sqref="O18"/>
    </sheetView>
  </sheetViews>
  <sheetFormatPr defaultColWidth="8.7265625" defaultRowHeight="14.5"/>
  <cols>
    <col min="1" max="1" width="2.26953125" style="70" customWidth="1"/>
    <col min="2" max="2" width="30.7265625" style="70" customWidth="1"/>
    <col min="3" max="4" width="7.81640625" style="70" bestFit="1" customWidth="1"/>
    <col min="5" max="5" width="50.7265625" style="70" customWidth="1"/>
    <col min="6" max="6" width="6" style="70" bestFit="1" customWidth="1"/>
    <col min="7" max="7" width="8.81640625" style="70" bestFit="1" customWidth="1"/>
    <col min="8" max="9" width="17.26953125" style="70" customWidth="1"/>
    <col min="10" max="16384" width="8.7265625" style="70"/>
  </cols>
  <sheetData>
    <row r="1" spans="2:9">
      <c r="B1" s="181"/>
      <c r="C1" s="181"/>
      <c r="D1" s="181"/>
      <c r="E1" s="181"/>
      <c r="F1" s="181"/>
      <c r="G1" s="181"/>
      <c r="H1" s="181"/>
      <c r="I1" s="182" t="s">
        <v>363</v>
      </c>
    </row>
    <row r="2" spans="2:9">
      <c r="B2" s="181"/>
      <c r="C2" s="181"/>
      <c r="D2" s="181"/>
      <c r="E2" s="181"/>
      <c r="F2" s="181"/>
      <c r="G2" s="181"/>
      <c r="H2" s="181"/>
      <c r="I2" s="182" t="s">
        <v>355</v>
      </c>
    </row>
    <row r="3" spans="2:9">
      <c r="B3" s="181" t="s">
        <v>364</v>
      </c>
      <c r="C3" s="181"/>
      <c r="D3" s="181"/>
      <c r="E3" s="181"/>
      <c r="F3" s="181"/>
      <c r="G3" s="181"/>
      <c r="H3" s="181"/>
      <c r="I3" s="181"/>
    </row>
    <row r="4" spans="2:9">
      <c r="B4" s="181" t="s">
        <v>352</v>
      </c>
      <c r="C4" s="181"/>
      <c r="D4" s="181"/>
      <c r="E4" s="181"/>
      <c r="F4" s="181"/>
      <c r="G4" s="181"/>
      <c r="H4" s="181"/>
      <c r="I4" s="181"/>
    </row>
    <row r="6" spans="2:9">
      <c r="B6" s="195" t="s">
        <v>0</v>
      </c>
      <c r="C6" s="232" t="s">
        <v>1</v>
      </c>
      <c r="D6" s="232"/>
      <c r="E6" s="195" t="s">
        <v>2</v>
      </c>
      <c r="F6" s="195" t="s">
        <v>3</v>
      </c>
      <c r="G6" s="195" t="s">
        <v>4</v>
      </c>
      <c r="H6" s="78" t="s">
        <v>5</v>
      </c>
      <c r="I6" s="78" t="s">
        <v>6</v>
      </c>
    </row>
    <row r="7" spans="2:9" ht="21.5"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169">
        <v>108.56</v>
      </c>
      <c r="H7" s="169">
        <f>'1.časť_B.2_Súpis prác_D1-329 '!I8</f>
        <v>0</v>
      </c>
      <c r="I7" s="169">
        <f>G7*H7</f>
        <v>0</v>
      </c>
    </row>
    <row r="8" spans="2:9">
      <c r="B8" s="86"/>
      <c r="C8" s="81" t="s">
        <v>8</v>
      </c>
      <c r="D8" s="81" t="s">
        <v>12</v>
      </c>
      <c r="E8" s="82" t="s">
        <v>13</v>
      </c>
      <c r="F8" s="83" t="s">
        <v>14</v>
      </c>
      <c r="G8" s="169">
        <v>53.5</v>
      </c>
      <c r="H8" s="169">
        <f>'1.časť_B.2_Súpis prác_D1-329 '!I9</f>
        <v>0</v>
      </c>
      <c r="I8" s="169">
        <f>G8*H8</f>
        <v>0</v>
      </c>
    </row>
    <row r="9" spans="2:9" ht="21.5">
      <c r="B9" s="86"/>
      <c r="C9" s="81" t="s">
        <v>8</v>
      </c>
      <c r="D9" s="81" t="s">
        <v>15</v>
      </c>
      <c r="E9" s="82" t="s">
        <v>16</v>
      </c>
      <c r="F9" s="83" t="s">
        <v>22</v>
      </c>
      <c r="G9" s="169">
        <v>1</v>
      </c>
      <c r="H9" s="169">
        <f>'1.časť_B.2_Súpis prác_D1-329 '!I10</f>
        <v>0</v>
      </c>
      <c r="I9" s="169">
        <f>G9*H9</f>
        <v>0</v>
      </c>
    </row>
    <row r="10" spans="2:9" ht="21.5">
      <c r="B10" s="86"/>
      <c r="C10" s="81" t="s">
        <v>8</v>
      </c>
      <c r="D10" s="81" t="s">
        <v>18</v>
      </c>
      <c r="E10" s="82" t="s">
        <v>19</v>
      </c>
      <c r="F10" s="83" t="s">
        <v>22</v>
      </c>
      <c r="G10" s="169">
        <v>1</v>
      </c>
      <c r="H10" s="169">
        <f>'1.časť_B.2_Súpis prác_D1-329 '!I11</f>
        <v>0</v>
      </c>
      <c r="I10" s="169">
        <f>G10*H10</f>
        <v>0</v>
      </c>
    </row>
    <row r="11" spans="2:9" ht="21.5">
      <c r="B11" s="87"/>
      <c r="C11" s="81" t="s">
        <v>8</v>
      </c>
      <c r="D11" s="81" t="s">
        <v>20</v>
      </c>
      <c r="E11" s="82" t="s">
        <v>21</v>
      </c>
      <c r="F11" s="83" t="s">
        <v>22</v>
      </c>
      <c r="G11" s="169">
        <v>1</v>
      </c>
      <c r="H11" s="169">
        <f>'1.časť_B.2_Súpis prác_D1-329 '!I12</f>
        <v>0</v>
      </c>
      <c r="I11" s="169">
        <f>G11*H11</f>
        <v>0</v>
      </c>
    </row>
    <row r="12" spans="2:9">
      <c r="B12" s="234" t="s">
        <v>23</v>
      </c>
      <c r="C12" s="235"/>
      <c r="D12" s="235"/>
      <c r="E12" s="235"/>
      <c r="F12" s="235"/>
      <c r="G12" s="236"/>
      <c r="H12" s="237"/>
      <c r="I12" s="95">
        <f>SUM(I7:I11)</f>
        <v>0</v>
      </c>
    </row>
    <row r="13" spans="2:9" ht="21.5">
      <c r="B13" s="80" t="s">
        <v>24</v>
      </c>
      <c r="C13" s="81" t="s">
        <v>25</v>
      </c>
      <c r="D13" s="81" t="s">
        <v>224</v>
      </c>
      <c r="E13" s="82" t="s">
        <v>228</v>
      </c>
      <c r="F13" s="83" t="s">
        <v>14</v>
      </c>
      <c r="G13" s="169">
        <v>9.9</v>
      </c>
      <c r="H13" s="169">
        <f>'1.časť_B.2_Súpis prác_D1-329 '!I13</f>
        <v>0</v>
      </c>
      <c r="I13" s="169">
        <f t="shared" ref="I13:I46" si="0">G13*H13</f>
        <v>0</v>
      </c>
    </row>
    <row r="14" spans="2:9">
      <c r="B14" s="76"/>
      <c r="C14" s="89" t="s">
        <v>25</v>
      </c>
      <c r="D14" s="89" t="s">
        <v>26</v>
      </c>
      <c r="E14" s="90" t="s">
        <v>27</v>
      </c>
      <c r="F14" s="91" t="s">
        <v>17</v>
      </c>
      <c r="G14" s="170">
        <v>157.5</v>
      </c>
      <c r="H14" s="169">
        <f>'1.časť_B.2_Súpis prác_D1-329 '!I14</f>
        <v>0</v>
      </c>
      <c r="I14" s="169">
        <f t="shared" si="0"/>
        <v>0</v>
      </c>
    </row>
    <row r="15" spans="2:9">
      <c r="B15" s="86"/>
      <c r="C15" s="89" t="s">
        <v>25</v>
      </c>
      <c r="D15" s="89" t="s">
        <v>226</v>
      </c>
      <c r="E15" s="90" t="s">
        <v>227</v>
      </c>
      <c r="F15" s="91" t="s">
        <v>28</v>
      </c>
      <c r="G15" s="170">
        <v>73</v>
      </c>
      <c r="H15" s="169">
        <f>'1.časť_B.2_Súpis prác_D1-329 '!I15</f>
        <v>0</v>
      </c>
      <c r="I15" s="169">
        <f t="shared" si="0"/>
        <v>0</v>
      </c>
    </row>
    <row r="16" spans="2:9">
      <c r="B16" s="86"/>
      <c r="C16" s="89" t="s">
        <v>25</v>
      </c>
      <c r="D16" s="89" t="s">
        <v>29</v>
      </c>
      <c r="E16" s="90" t="s">
        <v>30</v>
      </c>
      <c r="F16" s="91" t="s">
        <v>11</v>
      </c>
      <c r="G16" s="170">
        <v>112.94</v>
      </c>
      <c r="H16" s="169">
        <f>'1.časť_B.2_Súpis prác_D1-329 '!I16</f>
        <v>0</v>
      </c>
      <c r="I16" s="169">
        <f t="shared" si="0"/>
        <v>0</v>
      </c>
    </row>
    <row r="17" spans="2:9">
      <c r="B17" s="86"/>
      <c r="C17" s="81" t="s">
        <v>25</v>
      </c>
      <c r="D17" s="81" t="s">
        <v>31</v>
      </c>
      <c r="E17" s="82" t="s">
        <v>32</v>
      </c>
      <c r="F17" s="83" t="s">
        <v>17</v>
      </c>
      <c r="G17" s="169">
        <v>36.5</v>
      </c>
      <c r="H17" s="169">
        <f>'1.časť_B.2_Súpis prác_D1-329 '!I17</f>
        <v>0</v>
      </c>
      <c r="I17" s="169">
        <f t="shared" si="0"/>
        <v>0</v>
      </c>
    </row>
    <row r="18" spans="2:9">
      <c r="B18" s="86"/>
      <c r="C18" s="89" t="s">
        <v>34</v>
      </c>
      <c r="D18" s="89" t="s">
        <v>35</v>
      </c>
      <c r="E18" s="90" t="s">
        <v>36</v>
      </c>
      <c r="F18" s="91" t="s">
        <v>17</v>
      </c>
      <c r="G18" s="170">
        <v>300</v>
      </c>
      <c r="H18" s="169">
        <f>'1.časť_B.2_Súpis prác_D1-329 '!I18</f>
        <v>0</v>
      </c>
      <c r="I18" s="169">
        <f t="shared" si="0"/>
        <v>0</v>
      </c>
    </row>
    <row r="19" spans="2:9">
      <c r="B19" s="86"/>
      <c r="C19" s="89" t="s">
        <v>34</v>
      </c>
      <c r="D19" s="89" t="s">
        <v>37</v>
      </c>
      <c r="E19" s="90" t="s">
        <v>38</v>
      </c>
      <c r="F19" s="91" t="s">
        <v>39</v>
      </c>
      <c r="G19" s="170">
        <v>10</v>
      </c>
      <c r="H19" s="169">
        <f>'1.časť_B.2_Súpis prác_D1-329 '!I19</f>
        <v>0</v>
      </c>
      <c r="I19" s="169">
        <f t="shared" si="0"/>
        <v>0</v>
      </c>
    </row>
    <row r="20" spans="2:9">
      <c r="B20" s="86"/>
      <c r="C20" s="89" t="s">
        <v>34</v>
      </c>
      <c r="D20" s="89" t="s">
        <v>40</v>
      </c>
      <c r="E20" s="90" t="s">
        <v>41</v>
      </c>
      <c r="F20" s="91" t="s">
        <v>39</v>
      </c>
      <c r="G20" s="170">
        <v>10</v>
      </c>
      <c r="H20" s="169">
        <f>'1.časť_B.2_Súpis prác_D1-329 '!I20</f>
        <v>0</v>
      </c>
      <c r="I20" s="169">
        <f t="shared" si="0"/>
        <v>0</v>
      </c>
    </row>
    <row r="21" spans="2:9">
      <c r="B21" s="86"/>
      <c r="C21" s="89" t="s">
        <v>34</v>
      </c>
      <c r="D21" s="89" t="s">
        <v>42</v>
      </c>
      <c r="E21" s="90" t="s">
        <v>43</v>
      </c>
      <c r="F21" s="91" t="s">
        <v>14</v>
      </c>
      <c r="G21" s="170">
        <v>71.099999999999994</v>
      </c>
      <c r="H21" s="169">
        <f>'1.časť_B.2_Súpis prác_D1-329 '!I21</f>
        <v>0</v>
      </c>
      <c r="I21" s="169">
        <f t="shared" si="0"/>
        <v>0</v>
      </c>
    </row>
    <row r="22" spans="2:9">
      <c r="B22" s="86"/>
      <c r="C22" s="89" t="s">
        <v>34</v>
      </c>
      <c r="D22" s="89" t="s">
        <v>44</v>
      </c>
      <c r="E22" s="90" t="s">
        <v>45</v>
      </c>
      <c r="F22" s="91" t="s">
        <v>14</v>
      </c>
      <c r="G22" s="170">
        <v>17.600000000000001</v>
      </c>
      <c r="H22" s="169">
        <f>'1.časť_B.2_Súpis prác_D1-329 '!I22</f>
        <v>0</v>
      </c>
      <c r="I22" s="169">
        <f t="shared" si="0"/>
        <v>0</v>
      </c>
    </row>
    <row r="23" spans="2:9">
      <c r="B23" s="86"/>
      <c r="C23" s="89" t="s">
        <v>34</v>
      </c>
      <c r="D23" s="89" t="s">
        <v>46</v>
      </c>
      <c r="E23" s="90" t="s">
        <v>47</v>
      </c>
      <c r="F23" s="91" t="s">
        <v>17</v>
      </c>
      <c r="G23" s="170">
        <v>300</v>
      </c>
      <c r="H23" s="170">
        <f>'1.časť_B.2_Súpis prác_D1-329 '!I23</f>
        <v>0</v>
      </c>
      <c r="I23" s="169">
        <f t="shared" si="0"/>
        <v>0</v>
      </c>
    </row>
    <row r="24" spans="2:9">
      <c r="B24" s="86"/>
      <c r="C24" s="89" t="s">
        <v>34</v>
      </c>
      <c r="D24" s="89" t="s">
        <v>46</v>
      </c>
      <c r="E24" s="90" t="s">
        <v>47</v>
      </c>
      <c r="F24" s="91" t="s">
        <v>39</v>
      </c>
      <c r="G24" s="170">
        <v>10</v>
      </c>
      <c r="H24" s="170">
        <f>'1.časť_B.2_Súpis prác_D1-329 '!I24</f>
        <v>0</v>
      </c>
      <c r="I24" s="169">
        <f t="shared" si="0"/>
        <v>0</v>
      </c>
    </row>
    <row r="25" spans="2:9">
      <c r="B25" s="86"/>
      <c r="C25" s="89" t="s">
        <v>34</v>
      </c>
      <c r="D25" s="89" t="s">
        <v>46</v>
      </c>
      <c r="E25" s="90" t="s">
        <v>47</v>
      </c>
      <c r="F25" s="91" t="s">
        <v>14</v>
      </c>
      <c r="G25" s="170">
        <v>53.5</v>
      </c>
      <c r="H25" s="170">
        <f>'1.časť_B.2_Súpis prác_D1-329 '!I25</f>
        <v>0</v>
      </c>
      <c r="I25" s="169">
        <f t="shared" si="0"/>
        <v>0</v>
      </c>
    </row>
    <row r="26" spans="2:9">
      <c r="B26" s="86"/>
      <c r="C26" s="89" t="s">
        <v>48</v>
      </c>
      <c r="D26" s="89" t="s">
        <v>49</v>
      </c>
      <c r="E26" s="90" t="s">
        <v>50</v>
      </c>
      <c r="F26" s="91" t="s">
        <v>14</v>
      </c>
      <c r="G26" s="170">
        <v>22.2</v>
      </c>
      <c r="H26" s="170">
        <f>'1.časť_B.2_Súpis prác_D1-329 '!I26</f>
        <v>0</v>
      </c>
      <c r="I26" s="169">
        <f t="shared" si="0"/>
        <v>0</v>
      </c>
    </row>
    <row r="27" spans="2:9">
      <c r="B27" s="86"/>
      <c r="C27" s="89" t="s">
        <v>48</v>
      </c>
      <c r="D27" s="89" t="s">
        <v>51</v>
      </c>
      <c r="E27" s="90" t="s">
        <v>52</v>
      </c>
      <c r="F27" s="91" t="s">
        <v>17</v>
      </c>
      <c r="G27" s="170">
        <v>148</v>
      </c>
      <c r="H27" s="170">
        <f>'1.časť_B.2_Súpis prác_D1-329 '!I27</f>
        <v>0</v>
      </c>
      <c r="I27" s="169">
        <f t="shared" si="0"/>
        <v>0</v>
      </c>
    </row>
    <row r="28" spans="2:9">
      <c r="B28" s="86"/>
      <c r="C28" s="89" t="s">
        <v>48</v>
      </c>
      <c r="D28" s="89" t="s">
        <v>53</v>
      </c>
      <c r="E28" s="90" t="s">
        <v>54</v>
      </c>
      <c r="F28" s="91" t="s">
        <v>11</v>
      </c>
      <c r="G28" s="170">
        <v>2.04</v>
      </c>
      <c r="H28" s="170">
        <f>'1.časť_B.2_Súpis prác_D1-329 '!I28</f>
        <v>0</v>
      </c>
      <c r="I28" s="169">
        <f t="shared" si="0"/>
        <v>0</v>
      </c>
    </row>
    <row r="29" spans="2:9">
      <c r="B29" s="86"/>
      <c r="C29" s="89" t="s">
        <v>48</v>
      </c>
      <c r="D29" s="89" t="s">
        <v>55</v>
      </c>
      <c r="E29" s="90" t="s">
        <v>233</v>
      </c>
      <c r="F29" s="91" t="s">
        <v>39</v>
      </c>
      <c r="G29" s="170">
        <v>4</v>
      </c>
      <c r="H29" s="170">
        <f>'1.časť_B.2_Súpis prác_D1-329 '!I29</f>
        <v>0</v>
      </c>
      <c r="I29" s="169">
        <f t="shared" si="0"/>
        <v>0</v>
      </c>
    </row>
    <row r="30" spans="2:9" ht="21.5">
      <c r="B30" s="86"/>
      <c r="C30" s="89" t="s">
        <v>230</v>
      </c>
      <c r="D30" s="89" t="s">
        <v>55</v>
      </c>
      <c r="E30" s="90" t="s">
        <v>234</v>
      </c>
      <c r="F30" s="91" t="s">
        <v>39</v>
      </c>
      <c r="G30" s="170">
        <v>26</v>
      </c>
      <c r="H30" s="170">
        <f>'1.časť_B.2_Súpis prác_D1-329 '!I30</f>
        <v>0</v>
      </c>
      <c r="I30" s="169">
        <f t="shared" si="0"/>
        <v>0</v>
      </c>
    </row>
    <row r="31" spans="2:9" ht="21.5">
      <c r="B31" s="86"/>
      <c r="C31" s="89" t="s">
        <v>231</v>
      </c>
      <c r="D31" s="89" t="s">
        <v>55</v>
      </c>
      <c r="E31" s="90" t="s">
        <v>235</v>
      </c>
      <c r="F31" s="91" t="s">
        <v>39</v>
      </c>
      <c r="G31" s="170">
        <v>43</v>
      </c>
      <c r="H31" s="170">
        <f>'1.časť_B.2_Súpis prác_D1-329 '!I31</f>
        <v>0</v>
      </c>
      <c r="I31" s="169">
        <f t="shared" si="0"/>
        <v>0</v>
      </c>
    </row>
    <row r="32" spans="2:9">
      <c r="B32" s="86"/>
      <c r="C32" s="89" t="s">
        <v>48</v>
      </c>
      <c r="D32" s="89" t="s">
        <v>57</v>
      </c>
      <c r="E32" s="90" t="s">
        <v>58</v>
      </c>
      <c r="F32" s="91" t="s">
        <v>14</v>
      </c>
      <c r="G32" s="170">
        <v>1206.6600000000001</v>
      </c>
      <c r="H32" s="170">
        <f>'1.časť_B.2_Súpis prác_D1-329 '!I32</f>
        <v>0</v>
      </c>
      <c r="I32" s="169">
        <f t="shared" si="0"/>
        <v>0</v>
      </c>
    </row>
    <row r="33" spans="2:9">
      <c r="B33" s="86"/>
      <c r="C33" s="81" t="s">
        <v>48</v>
      </c>
      <c r="D33" s="81" t="s">
        <v>70</v>
      </c>
      <c r="E33" s="82" t="s">
        <v>71</v>
      </c>
      <c r="F33" s="83" t="s">
        <v>17</v>
      </c>
      <c r="G33" s="169">
        <v>0.91</v>
      </c>
      <c r="H33" s="170">
        <f>'1.časť_B.2_Súpis prác_D1-329 '!I33</f>
        <v>0</v>
      </c>
      <c r="I33" s="169">
        <f t="shared" ref="I33" si="1">G33*H33</f>
        <v>0</v>
      </c>
    </row>
    <row r="34" spans="2:9">
      <c r="B34" s="86"/>
      <c r="C34" s="89" t="s">
        <v>59</v>
      </c>
      <c r="D34" s="89" t="s">
        <v>60</v>
      </c>
      <c r="E34" s="90" t="s">
        <v>61</v>
      </c>
      <c r="F34" s="91" t="s">
        <v>14</v>
      </c>
      <c r="G34" s="170">
        <v>39.4</v>
      </c>
      <c r="H34" s="170">
        <f>'1.časť_B.2_Súpis prác_D1-329 '!I34</f>
        <v>0</v>
      </c>
      <c r="I34" s="169">
        <f t="shared" si="0"/>
        <v>0</v>
      </c>
    </row>
    <row r="35" spans="2:9">
      <c r="B35" s="86"/>
      <c r="C35" s="89" t="s">
        <v>59</v>
      </c>
      <c r="D35" s="89" t="s">
        <v>62</v>
      </c>
      <c r="E35" s="90" t="s">
        <v>63</v>
      </c>
      <c r="F35" s="91" t="s">
        <v>17</v>
      </c>
      <c r="G35" s="170">
        <v>157.5</v>
      </c>
      <c r="H35" s="170">
        <f>'1.časť_B.2_Súpis prác_D1-329 '!I35</f>
        <v>0</v>
      </c>
      <c r="I35" s="169">
        <f t="shared" si="0"/>
        <v>0</v>
      </c>
    </row>
    <row r="36" spans="2:9">
      <c r="B36" s="86"/>
      <c r="C36" s="89" t="s">
        <v>64</v>
      </c>
      <c r="D36" s="89" t="s">
        <v>65</v>
      </c>
      <c r="E36" s="90" t="s">
        <v>66</v>
      </c>
      <c r="F36" s="91" t="s">
        <v>33</v>
      </c>
      <c r="G36" s="170">
        <v>41</v>
      </c>
      <c r="H36" s="170">
        <f>'1.časť_B.2_Súpis prác_D1-329 '!I36</f>
        <v>0</v>
      </c>
      <c r="I36" s="169">
        <f t="shared" si="0"/>
        <v>0</v>
      </c>
    </row>
    <row r="37" spans="2:9">
      <c r="B37" s="86"/>
      <c r="C37" s="89" t="s">
        <v>72</v>
      </c>
      <c r="D37" s="89" t="s">
        <v>73</v>
      </c>
      <c r="E37" s="90" t="s">
        <v>74</v>
      </c>
      <c r="F37" s="91" t="s">
        <v>17</v>
      </c>
      <c r="G37" s="170">
        <v>3.6</v>
      </c>
      <c r="H37" s="170">
        <f>'1.časť_B.2_Súpis prác_D1-329 '!I37</f>
        <v>0</v>
      </c>
      <c r="I37" s="169">
        <f t="shared" si="0"/>
        <v>0</v>
      </c>
    </row>
    <row r="38" spans="2:9">
      <c r="B38" s="86"/>
      <c r="C38" s="89" t="s">
        <v>72</v>
      </c>
      <c r="D38" s="89" t="s">
        <v>75</v>
      </c>
      <c r="E38" s="90" t="s">
        <v>76</v>
      </c>
      <c r="F38" s="91" t="s">
        <v>17</v>
      </c>
      <c r="G38" s="170">
        <v>130.5</v>
      </c>
      <c r="H38" s="170">
        <f>'1.časť_B.2_Súpis prác_D1-329 '!I38</f>
        <v>0</v>
      </c>
      <c r="I38" s="169">
        <f t="shared" si="0"/>
        <v>0</v>
      </c>
    </row>
    <row r="39" spans="2:9">
      <c r="B39" s="86"/>
      <c r="C39" s="81" t="s">
        <v>106</v>
      </c>
      <c r="D39" s="81" t="s">
        <v>107</v>
      </c>
      <c r="E39" s="82" t="s">
        <v>108</v>
      </c>
      <c r="F39" s="83" t="s">
        <v>17</v>
      </c>
      <c r="G39" s="169">
        <v>50</v>
      </c>
      <c r="H39" s="170">
        <f>'1.časť_B.2_Súpis prác_D1-329 '!I39</f>
        <v>0</v>
      </c>
      <c r="I39" s="169">
        <f t="shared" si="0"/>
        <v>0</v>
      </c>
    </row>
    <row r="40" spans="2:9">
      <c r="B40" s="86"/>
      <c r="C40" s="89" t="s">
        <v>67</v>
      </c>
      <c r="D40" s="89" t="s">
        <v>203</v>
      </c>
      <c r="E40" s="90" t="s">
        <v>204</v>
      </c>
      <c r="F40" s="91" t="s">
        <v>33</v>
      </c>
      <c r="G40" s="170">
        <v>196.68</v>
      </c>
      <c r="H40" s="170">
        <f>'1.časť_B.2_Súpis prác_D1-329 '!I40</f>
        <v>0</v>
      </c>
      <c r="I40" s="169">
        <f t="shared" si="0"/>
        <v>0</v>
      </c>
    </row>
    <row r="41" spans="2:9">
      <c r="B41" s="86"/>
      <c r="C41" s="89" t="s">
        <v>67</v>
      </c>
      <c r="D41" s="89" t="s">
        <v>68</v>
      </c>
      <c r="E41" s="90" t="s">
        <v>69</v>
      </c>
      <c r="F41" s="91" t="s">
        <v>39</v>
      </c>
      <c r="G41" s="170">
        <v>1788</v>
      </c>
      <c r="H41" s="170">
        <f>'1.časť_B.2_Súpis prác_D1-329 '!I41</f>
        <v>0</v>
      </c>
      <c r="I41" s="169">
        <f t="shared" ref="I41" si="2">G41*H41</f>
        <v>0</v>
      </c>
    </row>
    <row r="42" spans="2:9">
      <c r="B42" s="86"/>
      <c r="C42" s="89" t="s">
        <v>67</v>
      </c>
      <c r="D42" s="89" t="s">
        <v>211</v>
      </c>
      <c r="E42" s="90" t="s">
        <v>212</v>
      </c>
      <c r="F42" s="91" t="s">
        <v>17</v>
      </c>
      <c r="G42" s="170">
        <v>148</v>
      </c>
      <c r="H42" s="170">
        <f>'1.časť_B.2_Súpis prác_D1-329 '!I42</f>
        <v>0</v>
      </c>
      <c r="I42" s="169">
        <f t="shared" ref="I42" si="3">G42*H42</f>
        <v>0</v>
      </c>
    </row>
    <row r="43" spans="2:9">
      <c r="B43" s="86"/>
      <c r="C43" s="89" t="s">
        <v>77</v>
      </c>
      <c r="D43" s="89" t="s">
        <v>78</v>
      </c>
      <c r="E43" s="90" t="s">
        <v>79</v>
      </c>
      <c r="F43" s="91" t="s">
        <v>14</v>
      </c>
      <c r="G43" s="170">
        <v>8.36</v>
      </c>
      <c r="H43" s="170">
        <f>'1.časť_B.2_Súpis prác_D1-329 '!I43</f>
        <v>0</v>
      </c>
      <c r="I43" s="169">
        <f t="shared" si="0"/>
        <v>0</v>
      </c>
    </row>
    <row r="44" spans="2:9">
      <c r="B44" s="86"/>
      <c r="C44" s="89" t="s">
        <v>77</v>
      </c>
      <c r="D44" s="89" t="s">
        <v>80</v>
      </c>
      <c r="E44" s="90" t="s">
        <v>81</v>
      </c>
      <c r="F44" s="91" t="s">
        <v>17</v>
      </c>
      <c r="G44" s="170">
        <v>37.950000000000003</v>
      </c>
      <c r="H44" s="170">
        <f>'1.časť_B.2_Súpis prác_D1-329 '!I44</f>
        <v>0</v>
      </c>
      <c r="I44" s="169">
        <f t="shared" si="0"/>
        <v>0</v>
      </c>
    </row>
    <row r="45" spans="2:9">
      <c r="B45" s="86"/>
      <c r="C45" s="89" t="s">
        <v>77</v>
      </c>
      <c r="D45" s="89" t="s">
        <v>82</v>
      </c>
      <c r="E45" s="90" t="s">
        <v>83</v>
      </c>
      <c r="F45" s="91" t="s">
        <v>11</v>
      </c>
      <c r="G45" s="170">
        <v>0.47</v>
      </c>
      <c r="H45" s="170">
        <f>'1.časť_B.2_Súpis prác_D1-329 '!I45</f>
        <v>0</v>
      </c>
      <c r="I45" s="169">
        <f t="shared" si="0"/>
        <v>0</v>
      </c>
    </row>
    <row r="46" spans="2:9">
      <c r="B46" s="86"/>
      <c r="C46" s="89" t="s">
        <v>77</v>
      </c>
      <c r="D46" s="89" t="s">
        <v>84</v>
      </c>
      <c r="E46" s="90" t="s">
        <v>85</v>
      </c>
      <c r="F46" s="91" t="s">
        <v>14</v>
      </c>
      <c r="G46" s="170">
        <v>11</v>
      </c>
      <c r="H46" s="170">
        <f>'1.časť_B.2_Súpis prác_D1-329 '!I46</f>
        <v>0</v>
      </c>
      <c r="I46" s="169">
        <f t="shared" si="0"/>
        <v>0</v>
      </c>
    </row>
    <row r="47" spans="2:9">
      <c r="B47" s="234" t="s">
        <v>104</v>
      </c>
      <c r="C47" s="235"/>
      <c r="D47" s="235"/>
      <c r="E47" s="235"/>
      <c r="F47" s="235"/>
      <c r="G47" s="236"/>
      <c r="H47" s="237"/>
      <c r="I47" s="95">
        <f>SUM(I13:I46)</f>
        <v>0</v>
      </c>
    </row>
    <row r="48" spans="2:9">
      <c r="B48" s="238" t="s">
        <v>86</v>
      </c>
      <c r="C48" s="239"/>
      <c r="D48" s="239"/>
      <c r="E48" s="239"/>
      <c r="F48" s="239"/>
      <c r="G48" s="240"/>
      <c r="H48" s="96"/>
      <c r="I48" s="97">
        <f>SUM(I13:I46,I7:I11)</f>
        <v>0</v>
      </c>
    </row>
    <row r="50" spans="2:8">
      <c r="B50" s="221"/>
      <c r="C50" s="221"/>
      <c r="D50" s="221"/>
      <c r="E50" s="221"/>
      <c r="F50" s="221"/>
      <c r="H50" s="166"/>
    </row>
    <row r="51" spans="2:8">
      <c r="B51" s="221"/>
      <c r="C51" s="221"/>
      <c r="D51" s="221"/>
      <c r="E51" s="221"/>
      <c r="F51" s="221"/>
    </row>
    <row r="52" spans="2:8">
      <c r="B52" s="67" t="s">
        <v>240</v>
      </c>
      <c r="C52" s="221"/>
      <c r="D52" s="221"/>
      <c r="E52" s="233" t="s">
        <v>237</v>
      </c>
      <c r="F52" s="233"/>
    </row>
    <row r="53" spans="2:8">
      <c r="B53" s="221"/>
      <c r="C53" s="221"/>
      <c r="D53" s="221"/>
      <c r="E53" s="233" t="s">
        <v>238</v>
      </c>
      <c r="F53" s="233"/>
    </row>
    <row r="54" spans="2:8">
      <c r="B54" s="221"/>
      <c r="C54" s="221"/>
      <c r="D54" s="221"/>
      <c r="E54" s="233" t="s">
        <v>239</v>
      </c>
      <c r="F54" s="233"/>
    </row>
    <row r="55" spans="2:8">
      <c r="B55" s="221"/>
      <c r="C55" s="221"/>
      <c r="D55" s="221"/>
      <c r="E55" s="221"/>
      <c r="F55" s="221"/>
    </row>
  </sheetData>
  <sheetProtection algorithmName="SHA-512" hashValue="WdYRE9Z3GHOiPFQVwzSQ8+xDGSbyne/NFSEi5FhX9FtqNtG+jCf/tLQPBh+tDYkBJyAP75UifDol+nZtoIm3hg==" saltValue="sNdgBey/34N2HSAceg4UKA==" spinCount="100000" sheet="1" objects="1" scenarios="1"/>
  <mergeCells count="7">
    <mergeCell ref="E52:F52"/>
    <mergeCell ref="E53:F53"/>
    <mergeCell ref="E54:F54"/>
    <mergeCell ref="C6:D6"/>
    <mergeCell ref="B12:H12"/>
    <mergeCell ref="B47:H47"/>
    <mergeCell ref="B48:G48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72"/>
  <sheetViews>
    <sheetView view="pageBreakPreview" zoomScaleNormal="115" zoomScaleSheetLayoutView="100" workbookViewId="0">
      <selection activeCell="L179" sqref="L179"/>
    </sheetView>
  </sheetViews>
  <sheetFormatPr defaultColWidth="9.26953125" defaultRowHeight="14.5"/>
  <cols>
    <col min="1" max="1" width="2.26953125" style="7" customWidth="1"/>
    <col min="2" max="2" width="4.26953125" style="7" customWidth="1"/>
    <col min="3" max="4" width="7.81640625" style="7" bestFit="1" customWidth="1"/>
    <col min="5" max="5" width="11.81640625" style="7" customWidth="1"/>
    <col min="6" max="6" width="50.7265625" style="7" customWidth="1"/>
    <col min="7" max="7" width="8.7265625" style="7" customWidth="1"/>
    <col min="8" max="8" width="8.81640625" style="7" customWidth="1"/>
    <col min="9" max="9" width="8.81640625" style="7" bestFit="1" customWidth="1"/>
    <col min="10" max="16384" width="9.26953125" style="7"/>
  </cols>
  <sheetData>
    <row r="1" spans="2:10">
      <c r="B1" s="184"/>
      <c r="C1" s="184"/>
      <c r="D1" s="184"/>
      <c r="E1" s="184"/>
      <c r="F1" s="184"/>
      <c r="G1" s="184"/>
      <c r="H1" s="184"/>
      <c r="I1" s="184"/>
      <c r="J1" s="182" t="s">
        <v>363</v>
      </c>
    </row>
    <row r="2" spans="2:10">
      <c r="B2" s="184"/>
      <c r="C2" s="184"/>
      <c r="D2" s="184"/>
      <c r="E2" s="184"/>
      <c r="F2" s="184"/>
      <c r="G2" s="184"/>
      <c r="H2" s="184"/>
      <c r="I2" s="184"/>
      <c r="J2" s="185" t="s">
        <v>358</v>
      </c>
    </row>
    <row r="3" spans="2:10">
      <c r="B3" s="186" t="s">
        <v>364</v>
      </c>
      <c r="C3" s="186"/>
      <c r="D3" s="184"/>
      <c r="E3" s="184"/>
      <c r="F3" s="184"/>
      <c r="G3" s="184"/>
      <c r="H3" s="184"/>
      <c r="I3" s="184"/>
      <c r="J3" s="184"/>
    </row>
    <row r="4" spans="2:10">
      <c r="B4" s="186" t="s">
        <v>352</v>
      </c>
      <c r="C4" s="186"/>
      <c r="D4" s="184"/>
      <c r="E4" s="184"/>
      <c r="F4" s="184"/>
      <c r="G4" s="184"/>
      <c r="H4" s="184"/>
      <c r="I4" s="184"/>
      <c r="J4" s="184"/>
    </row>
    <row r="5" spans="2:10">
      <c r="C5" s="65"/>
      <c r="D5" s="66"/>
      <c r="E5" s="66"/>
      <c r="F5" s="66"/>
    </row>
    <row r="7" spans="2:10" ht="29.15" customHeight="1">
      <c r="B7" s="8"/>
      <c r="C7" s="196" t="s">
        <v>112</v>
      </c>
      <c r="D7" s="241" t="s">
        <v>113</v>
      </c>
      <c r="E7" s="241"/>
      <c r="F7" s="8" t="s">
        <v>2</v>
      </c>
      <c r="G7" s="9"/>
      <c r="H7" s="196" t="s">
        <v>3</v>
      </c>
      <c r="I7" s="8" t="s">
        <v>4</v>
      </c>
    </row>
    <row r="8" spans="2:10">
      <c r="B8" s="10"/>
      <c r="C8" s="11" t="s">
        <v>8</v>
      </c>
      <c r="D8" s="4"/>
      <c r="E8" s="3"/>
      <c r="F8" s="12" t="s">
        <v>114</v>
      </c>
      <c r="G8" s="13"/>
      <c r="H8" s="14"/>
      <c r="I8" s="58"/>
    </row>
    <row r="9" spans="2:10">
      <c r="B9" s="15"/>
      <c r="C9" s="3"/>
      <c r="D9" s="4" t="s">
        <v>9</v>
      </c>
      <c r="E9" s="3"/>
      <c r="F9" s="15" t="s">
        <v>10</v>
      </c>
      <c r="G9" s="16"/>
      <c r="H9" s="17" t="s">
        <v>11</v>
      </c>
      <c r="I9" s="6">
        <f>SUM(I10)</f>
        <v>108.57</v>
      </c>
    </row>
    <row r="10" spans="2:10">
      <c r="B10" s="18">
        <v>1</v>
      </c>
      <c r="C10" s="3"/>
      <c r="D10" s="4"/>
      <c r="E10" s="3" t="s">
        <v>115</v>
      </c>
      <c r="F10" s="15" t="s">
        <v>10</v>
      </c>
      <c r="G10" s="16"/>
      <c r="H10" s="17" t="s">
        <v>11</v>
      </c>
      <c r="I10" s="6">
        <f>G12</f>
        <v>108.57</v>
      </c>
    </row>
    <row r="11" spans="2:10">
      <c r="B11" s="15"/>
      <c r="C11" s="3"/>
      <c r="D11" s="4"/>
      <c r="E11" s="3"/>
      <c r="F11" s="19" t="s">
        <v>236</v>
      </c>
      <c r="G11" s="20">
        <f>G43+G44+G45</f>
        <v>108.57</v>
      </c>
      <c r="H11" s="17"/>
      <c r="I11" s="6"/>
    </row>
    <row r="12" spans="2:10">
      <c r="B12" s="15"/>
      <c r="C12" s="3"/>
      <c r="D12" s="4"/>
      <c r="E12" s="3"/>
      <c r="F12" s="21" t="s">
        <v>116</v>
      </c>
      <c r="G12" s="22">
        <f>SUM(G11)</f>
        <v>108.57</v>
      </c>
      <c r="H12" s="17"/>
      <c r="I12" s="6"/>
    </row>
    <row r="13" spans="2:10">
      <c r="B13" s="15"/>
      <c r="C13" s="3"/>
      <c r="D13" s="23" t="s">
        <v>117</v>
      </c>
      <c r="E13" s="24"/>
      <c r="F13" s="25" t="s">
        <v>118</v>
      </c>
      <c r="G13" s="26"/>
      <c r="H13" s="27" t="s">
        <v>14</v>
      </c>
      <c r="I13" s="59">
        <f>SUM(I14)</f>
        <v>53.5</v>
      </c>
    </row>
    <row r="14" spans="2:10">
      <c r="B14" s="18">
        <f>MAX($B$10:B13)+1</f>
        <v>2</v>
      </c>
      <c r="C14" s="3"/>
      <c r="D14" s="4"/>
      <c r="E14" s="3" t="s">
        <v>119</v>
      </c>
      <c r="F14" s="15" t="s">
        <v>118</v>
      </c>
      <c r="G14" s="28"/>
      <c r="H14" s="17" t="s">
        <v>14</v>
      </c>
      <c r="I14" s="6">
        <f>G16</f>
        <v>53.5</v>
      </c>
    </row>
    <row r="15" spans="2:10">
      <c r="B15" s="18"/>
      <c r="C15" s="3"/>
      <c r="D15" s="4"/>
      <c r="E15" s="3"/>
      <c r="F15" s="19" t="s">
        <v>120</v>
      </c>
      <c r="G15" s="20">
        <f>G77</f>
        <v>53.5</v>
      </c>
      <c r="H15" s="17"/>
      <c r="I15" s="6"/>
    </row>
    <row r="16" spans="2:10">
      <c r="B16" s="18"/>
      <c r="C16" s="3"/>
      <c r="D16" s="4"/>
      <c r="E16" s="3"/>
      <c r="F16" s="21" t="s">
        <v>116</v>
      </c>
      <c r="G16" s="22">
        <f>SUM(G15)</f>
        <v>53.5</v>
      </c>
      <c r="H16" s="17"/>
      <c r="I16" s="6"/>
    </row>
    <row r="17" spans="2:9" ht="22">
      <c r="B17" s="18"/>
      <c r="C17" s="3"/>
      <c r="D17" s="23" t="s">
        <v>15</v>
      </c>
      <c r="E17" s="24"/>
      <c r="F17" s="25" t="s">
        <v>16</v>
      </c>
      <c r="G17" s="26"/>
      <c r="H17" s="27" t="s">
        <v>22</v>
      </c>
      <c r="I17" s="59">
        <v>1</v>
      </c>
    </row>
    <row r="18" spans="2:9" ht="21.5">
      <c r="B18" s="18">
        <f>MAX($B$10:B17)+1</f>
        <v>3</v>
      </c>
      <c r="C18" s="3"/>
      <c r="D18" s="4"/>
      <c r="E18" s="3" t="s">
        <v>121</v>
      </c>
      <c r="F18" s="15" t="s">
        <v>16</v>
      </c>
      <c r="G18" s="16"/>
      <c r="H18" s="17" t="s">
        <v>22</v>
      </c>
      <c r="I18" s="6">
        <v>1</v>
      </c>
    </row>
    <row r="19" spans="2:9">
      <c r="B19" s="18"/>
      <c r="C19" s="3"/>
      <c r="D19" s="4"/>
      <c r="E19" s="3"/>
      <c r="F19" s="15"/>
      <c r="G19" s="16"/>
      <c r="H19" s="17"/>
      <c r="I19" s="6"/>
    </row>
    <row r="20" spans="2:9" ht="22">
      <c r="B20" s="18"/>
      <c r="C20" s="3"/>
      <c r="D20" s="23" t="s">
        <v>18</v>
      </c>
      <c r="E20" s="24"/>
      <c r="F20" s="25" t="s">
        <v>19</v>
      </c>
      <c r="G20" s="26"/>
      <c r="H20" s="27" t="s">
        <v>22</v>
      </c>
      <c r="I20" s="59">
        <v>1</v>
      </c>
    </row>
    <row r="21" spans="2:9" ht="21.5">
      <c r="B21" s="18">
        <f>MAX($B$10:B20)+1</f>
        <v>4</v>
      </c>
      <c r="C21" s="3"/>
      <c r="D21" s="4"/>
      <c r="E21" s="3" t="s">
        <v>122</v>
      </c>
      <c r="F21" s="15" t="s">
        <v>19</v>
      </c>
      <c r="G21" s="16"/>
      <c r="H21" s="17" t="s">
        <v>22</v>
      </c>
      <c r="I21" s="6">
        <v>1</v>
      </c>
    </row>
    <row r="22" spans="2:9">
      <c r="B22" s="18"/>
      <c r="C22" s="3"/>
      <c r="D22" s="4"/>
      <c r="E22" s="3"/>
      <c r="F22" s="15"/>
      <c r="G22" s="16"/>
      <c r="H22" s="17"/>
      <c r="I22" s="6"/>
    </row>
    <row r="23" spans="2:9" ht="32.5">
      <c r="B23" s="18"/>
      <c r="C23" s="3"/>
      <c r="D23" s="23" t="s">
        <v>20</v>
      </c>
      <c r="E23" s="24"/>
      <c r="F23" s="25" t="s">
        <v>21</v>
      </c>
      <c r="G23" s="26"/>
      <c r="H23" s="27" t="s">
        <v>22</v>
      </c>
      <c r="I23" s="59">
        <v>1</v>
      </c>
    </row>
    <row r="24" spans="2:9" ht="21.5">
      <c r="B24" s="18">
        <f>MAX($B$10:B23)+1</f>
        <v>5</v>
      </c>
      <c r="C24" s="3"/>
      <c r="D24" s="4"/>
      <c r="E24" s="3" t="s">
        <v>122</v>
      </c>
      <c r="F24" s="15" t="s">
        <v>21</v>
      </c>
      <c r="G24" s="16"/>
      <c r="H24" s="17" t="s">
        <v>22</v>
      </c>
      <c r="I24" s="6">
        <v>1</v>
      </c>
    </row>
    <row r="25" spans="2:9">
      <c r="B25" s="29"/>
      <c r="C25" s="30"/>
      <c r="D25" s="31"/>
      <c r="E25" s="30"/>
      <c r="F25" s="29"/>
      <c r="G25" s="32"/>
      <c r="H25" s="33"/>
      <c r="I25" s="34"/>
    </row>
    <row r="26" spans="2:9">
      <c r="B26" s="242"/>
      <c r="C26" s="242"/>
      <c r="D26" s="242"/>
      <c r="E26" s="242"/>
      <c r="F26" s="242"/>
      <c r="G26" s="242"/>
      <c r="H26" s="242"/>
      <c r="I26" s="243"/>
    </row>
    <row r="27" spans="2:9">
      <c r="B27" s="244" t="s">
        <v>123</v>
      </c>
      <c r="C27" s="244"/>
      <c r="D27" s="244"/>
      <c r="E27" s="244"/>
      <c r="F27" s="244"/>
      <c r="G27" s="197"/>
      <c r="H27" s="197"/>
      <c r="I27" s="198"/>
    </row>
    <row r="28" spans="2:9">
      <c r="B28" s="35"/>
      <c r="C28" s="36" t="s">
        <v>25</v>
      </c>
      <c r="D28" s="60"/>
      <c r="E28" s="64"/>
      <c r="F28" s="37" t="s">
        <v>124</v>
      </c>
      <c r="G28" s="38"/>
      <c r="H28" s="39"/>
      <c r="I28" s="40"/>
    </row>
    <row r="29" spans="2:9">
      <c r="B29" s="41"/>
      <c r="D29" s="23" t="s">
        <v>224</v>
      </c>
      <c r="E29" s="23"/>
      <c r="F29" s="42" t="s">
        <v>228</v>
      </c>
      <c r="G29" s="26"/>
      <c r="H29" s="43" t="s">
        <v>14</v>
      </c>
      <c r="I29" s="59">
        <f>SUM(I30)</f>
        <v>9.9</v>
      </c>
    </row>
    <row r="30" spans="2:9">
      <c r="B30" s="18"/>
      <c r="C30" s="3"/>
      <c r="D30" s="4"/>
      <c r="E30" s="4" t="s">
        <v>225</v>
      </c>
      <c r="F30" s="44" t="s">
        <v>228</v>
      </c>
      <c r="G30" s="28"/>
      <c r="H30" s="1" t="s">
        <v>14</v>
      </c>
      <c r="I30" s="6">
        <f>G32</f>
        <v>9.9</v>
      </c>
    </row>
    <row r="31" spans="2:9" ht="26.5">
      <c r="B31" s="18"/>
      <c r="C31" s="3"/>
      <c r="D31" s="61"/>
      <c r="E31" s="4"/>
      <c r="F31" s="45" t="s">
        <v>125</v>
      </c>
      <c r="G31" s="28">
        <f>1.5*1*33*0.2</f>
        <v>9.9</v>
      </c>
      <c r="H31" s="46"/>
      <c r="I31" s="6"/>
    </row>
    <row r="32" spans="2:9">
      <c r="B32" s="18"/>
      <c r="C32" s="3"/>
      <c r="D32" s="61"/>
      <c r="E32" s="4"/>
      <c r="F32" s="47" t="s">
        <v>116</v>
      </c>
      <c r="G32" s="2">
        <f>SUM(G31)</f>
        <v>9.9</v>
      </c>
      <c r="H32" s="43"/>
      <c r="I32" s="6"/>
    </row>
    <row r="33" spans="2:9">
      <c r="B33" s="41"/>
      <c r="C33" s="3"/>
      <c r="D33" s="62" t="s">
        <v>26</v>
      </c>
      <c r="E33" s="23"/>
      <c r="F33" s="42" t="s">
        <v>27</v>
      </c>
      <c r="G33" s="26"/>
      <c r="H33" s="43" t="s">
        <v>17</v>
      </c>
      <c r="I33" s="59">
        <f>SUM(I34)</f>
        <v>157.5</v>
      </c>
    </row>
    <row r="34" spans="2:9">
      <c r="B34" s="41"/>
      <c r="C34" s="3"/>
      <c r="D34" s="61"/>
      <c r="E34" s="4" t="s">
        <v>126</v>
      </c>
      <c r="F34" s="44" t="s">
        <v>27</v>
      </c>
      <c r="G34" s="28"/>
      <c r="H34" s="1" t="s">
        <v>17</v>
      </c>
      <c r="I34" s="6">
        <f>G36</f>
        <v>157.5</v>
      </c>
    </row>
    <row r="35" spans="2:9">
      <c r="B35" s="41"/>
      <c r="C35" s="3"/>
      <c r="D35" s="61"/>
      <c r="E35" s="4"/>
      <c r="F35" s="48" t="s">
        <v>127</v>
      </c>
      <c r="G35" s="20">
        <f>157.5</f>
        <v>157.5</v>
      </c>
      <c r="H35" s="49"/>
      <c r="I35" s="6"/>
    </row>
    <row r="36" spans="2:9">
      <c r="B36" s="41"/>
      <c r="C36" s="3"/>
      <c r="D36" s="61"/>
      <c r="E36" s="4"/>
      <c r="F36" s="47" t="s">
        <v>116</v>
      </c>
      <c r="G36" s="50">
        <f>SUM(G35)</f>
        <v>157.5</v>
      </c>
      <c r="H36" s="49"/>
      <c r="I36" s="6"/>
    </row>
    <row r="37" spans="2:9">
      <c r="B37" s="41"/>
      <c r="C37" s="3"/>
      <c r="D37" s="62" t="s">
        <v>226</v>
      </c>
      <c r="E37" s="23"/>
      <c r="F37" s="42" t="s">
        <v>227</v>
      </c>
      <c r="G37" s="26"/>
      <c r="H37" s="43" t="s">
        <v>28</v>
      </c>
      <c r="I37" s="59">
        <f>SUM(I38)</f>
        <v>73</v>
      </c>
    </row>
    <row r="38" spans="2:9">
      <c r="B38" s="41"/>
      <c r="C38" s="3"/>
      <c r="D38" s="61"/>
      <c r="E38" s="4" t="s">
        <v>229</v>
      </c>
      <c r="F38" s="44" t="s">
        <v>227</v>
      </c>
      <c r="G38" s="28"/>
      <c r="H38" s="1" t="s">
        <v>28</v>
      </c>
      <c r="I38" s="6">
        <f>G40</f>
        <v>73</v>
      </c>
    </row>
    <row r="39" spans="2:9">
      <c r="B39" s="41"/>
      <c r="C39" s="3"/>
      <c r="D39" s="61"/>
      <c r="E39" s="4"/>
      <c r="F39" s="48" t="s">
        <v>128</v>
      </c>
      <c r="G39" s="20">
        <f>73</f>
        <v>73</v>
      </c>
      <c r="H39" s="49"/>
      <c r="I39" s="6"/>
    </row>
    <row r="40" spans="2:9">
      <c r="B40" s="41"/>
      <c r="C40" s="3"/>
      <c r="D40" s="61"/>
      <c r="E40" s="4"/>
      <c r="F40" s="47" t="s">
        <v>116</v>
      </c>
      <c r="G40" s="50">
        <f>SUM(G39)</f>
        <v>73</v>
      </c>
      <c r="H40" s="49"/>
      <c r="I40" s="6"/>
    </row>
    <row r="41" spans="2:9">
      <c r="B41" s="41"/>
      <c r="C41" s="3"/>
      <c r="D41" s="62" t="s">
        <v>29</v>
      </c>
      <c r="E41" s="23"/>
      <c r="F41" s="42" t="s">
        <v>30</v>
      </c>
      <c r="G41" s="26"/>
      <c r="H41" s="43" t="s">
        <v>11</v>
      </c>
      <c r="I41" s="59">
        <f>SUM(I42)</f>
        <v>112.95</v>
      </c>
    </row>
    <row r="42" spans="2:9">
      <c r="B42" s="41"/>
      <c r="C42" s="3"/>
      <c r="D42" s="61"/>
      <c r="E42" s="4" t="s">
        <v>129</v>
      </c>
      <c r="F42" s="44" t="s">
        <v>130</v>
      </c>
      <c r="G42" s="28"/>
      <c r="H42" s="1" t="s">
        <v>11</v>
      </c>
      <c r="I42" s="6">
        <f>G47</f>
        <v>112.95</v>
      </c>
    </row>
    <row r="43" spans="2:9">
      <c r="B43" s="41"/>
      <c r="C43" s="3"/>
      <c r="D43" s="61"/>
      <c r="E43" s="4"/>
      <c r="F43" s="48" t="s">
        <v>131</v>
      </c>
      <c r="G43" s="20">
        <f>157.5*0.408</f>
        <v>64.260000000000005</v>
      </c>
      <c r="H43" s="49"/>
      <c r="I43" s="6"/>
    </row>
    <row r="44" spans="2:9">
      <c r="B44" s="41"/>
      <c r="C44" s="3"/>
      <c r="D44" s="61"/>
      <c r="E44" s="4"/>
      <c r="F44" s="48" t="s">
        <v>132</v>
      </c>
      <c r="G44" s="20">
        <f>9.9*2.447</f>
        <v>24.23</v>
      </c>
      <c r="H44" s="49"/>
      <c r="I44" s="6"/>
    </row>
    <row r="45" spans="2:9">
      <c r="B45" s="41"/>
      <c r="C45" s="3"/>
      <c r="D45" s="61"/>
      <c r="E45" s="4"/>
      <c r="F45" s="48" t="s">
        <v>133</v>
      </c>
      <c r="G45" s="20">
        <f>73*0.125*2.2</f>
        <v>20.079999999999998</v>
      </c>
      <c r="H45" s="49"/>
      <c r="I45" s="6"/>
    </row>
    <row r="46" spans="2:9">
      <c r="B46" s="41"/>
      <c r="C46" s="3"/>
      <c r="D46" s="61"/>
      <c r="E46" s="4"/>
      <c r="F46" s="48" t="s">
        <v>134</v>
      </c>
      <c r="G46" s="20">
        <f>73*0.06</f>
        <v>4.38</v>
      </c>
      <c r="H46" s="49"/>
      <c r="I46" s="6"/>
    </row>
    <row r="47" spans="2:9">
      <c r="B47" s="41"/>
      <c r="C47" s="3"/>
      <c r="D47" s="61"/>
      <c r="E47" s="4"/>
      <c r="F47" s="47" t="s">
        <v>116</v>
      </c>
      <c r="G47" s="22">
        <f>SUM(G43:G46)</f>
        <v>112.95</v>
      </c>
      <c r="H47" s="49"/>
      <c r="I47" s="6"/>
    </row>
    <row r="48" spans="2:9">
      <c r="B48" s="41"/>
      <c r="C48" s="3"/>
      <c r="D48" s="62" t="s">
        <v>31</v>
      </c>
      <c r="E48" s="23"/>
      <c r="F48" s="42" t="s">
        <v>32</v>
      </c>
      <c r="G48" s="26"/>
      <c r="H48" s="43" t="s">
        <v>17</v>
      </c>
      <c r="I48" s="59">
        <f>SUM(I49)</f>
        <v>36.5</v>
      </c>
    </row>
    <row r="49" spans="2:9">
      <c r="B49" s="41"/>
      <c r="C49" s="3"/>
      <c r="D49" s="61"/>
      <c r="E49" s="4" t="s">
        <v>135</v>
      </c>
      <c r="F49" s="44" t="s">
        <v>32</v>
      </c>
      <c r="G49" s="28"/>
      <c r="H49" s="1" t="s">
        <v>17</v>
      </c>
      <c r="I49" s="6">
        <f>G51</f>
        <v>36.5</v>
      </c>
    </row>
    <row r="50" spans="2:9">
      <c r="B50" s="41"/>
      <c r="C50" s="3"/>
      <c r="D50" s="61"/>
      <c r="E50" s="4"/>
      <c r="F50" s="48" t="s">
        <v>232</v>
      </c>
      <c r="G50" s="20">
        <f>73*0.5</f>
        <v>36.5</v>
      </c>
      <c r="H50" s="49"/>
      <c r="I50" s="6"/>
    </row>
    <row r="51" spans="2:9">
      <c r="B51" s="41"/>
      <c r="C51" s="3"/>
      <c r="D51" s="61"/>
      <c r="E51" s="4"/>
      <c r="F51" s="47" t="s">
        <v>116</v>
      </c>
      <c r="G51" s="50">
        <f>SUM(G50)</f>
        <v>36.5</v>
      </c>
      <c r="H51" s="49"/>
      <c r="I51" s="6"/>
    </row>
    <row r="52" spans="2:9">
      <c r="B52" s="41"/>
      <c r="C52" s="11" t="s">
        <v>136</v>
      </c>
      <c r="D52" s="61"/>
      <c r="E52" s="4"/>
      <c r="F52" s="51" t="s">
        <v>137</v>
      </c>
      <c r="G52" s="197"/>
      <c r="H52" s="1"/>
      <c r="I52" s="6"/>
    </row>
    <row r="53" spans="2:9">
      <c r="B53" s="41"/>
      <c r="C53" s="3"/>
      <c r="D53" s="62" t="s">
        <v>35</v>
      </c>
      <c r="E53" s="23"/>
      <c r="F53" s="42" t="s">
        <v>36</v>
      </c>
      <c r="G53" s="26"/>
      <c r="H53" s="43" t="s">
        <v>17</v>
      </c>
      <c r="I53" s="59">
        <f>SUM(I54)</f>
        <v>300</v>
      </c>
    </row>
    <row r="54" spans="2:9">
      <c r="B54" s="41"/>
      <c r="C54" s="3"/>
      <c r="D54" s="61"/>
      <c r="E54" s="4" t="s">
        <v>138</v>
      </c>
      <c r="F54" s="44" t="s">
        <v>139</v>
      </c>
      <c r="G54" s="28"/>
      <c r="H54" s="1" t="s">
        <v>17</v>
      </c>
      <c r="I54" s="6">
        <f>G56</f>
        <v>300</v>
      </c>
    </row>
    <row r="55" spans="2:9">
      <c r="B55" s="41"/>
      <c r="C55" s="3"/>
      <c r="D55" s="61"/>
      <c r="E55" s="4"/>
      <c r="F55" s="48" t="s">
        <v>140</v>
      </c>
      <c r="G55" s="20">
        <f>300</f>
        <v>300</v>
      </c>
      <c r="H55" s="49"/>
      <c r="I55" s="6"/>
    </row>
    <row r="56" spans="2:9">
      <c r="B56" s="41"/>
      <c r="C56" s="3"/>
      <c r="D56" s="61"/>
      <c r="E56" s="4"/>
      <c r="F56" s="47" t="s">
        <v>116</v>
      </c>
      <c r="G56" s="50">
        <f>SUM(G55)</f>
        <v>300</v>
      </c>
      <c r="H56" s="49"/>
      <c r="I56" s="6"/>
    </row>
    <row r="57" spans="2:9">
      <c r="B57" s="41"/>
      <c r="C57" s="3"/>
      <c r="D57" s="62" t="s">
        <v>37</v>
      </c>
      <c r="E57" s="23"/>
      <c r="F57" s="42" t="s">
        <v>38</v>
      </c>
      <c r="G57" s="26"/>
      <c r="H57" s="43" t="s">
        <v>39</v>
      </c>
      <c r="I57" s="59">
        <f>SUM(I58)</f>
        <v>10</v>
      </c>
    </row>
    <row r="58" spans="2:9">
      <c r="B58" s="41"/>
      <c r="C58" s="3"/>
      <c r="D58" s="61"/>
      <c r="E58" s="4" t="s">
        <v>141</v>
      </c>
      <c r="F58" s="44" t="s">
        <v>142</v>
      </c>
      <c r="G58" s="28"/>
      <c r="H58" s="1" t="s">
        <v>39</v>
      </c>
      <c r="I58" s="6">
        <f>G60</f>
        <v>10</v>
      </c>
    </row>
    <row r="59" spans="2:9">
      <c r="B59" s="41"/>
      <c r="C59" s="3"/>
      <c r="D59" s="61"/>
      <c r="E59" s="4"/>
      <c r="F59" s="48" t="s">
        <v>143</v>
      </c>
      <c r="G59" s="20">
        <v>10</v>
      </c>
      <c r="H59" s="49"/>
      <c r="I59" s="6"/>
    </row>
    <row r="60" spans="2:9">
      <c r="B60" s="41"/>
      <c r="C60" s="3"/>
      <c r="D60" s="61"/>
      <c r="E60" s="4"/>
      <c r="F60" s="47" t="s">
        <v>116</v>
      </c>
      <c r="G60" s="50">
        <f>SUM(G59)</f>
        <v>10</v>
      </c>
      <c r="H60" s="49"/>
      <c r="I60" s="6"/>
    </row>
    <row r="61" spans="2:9">
      <c r="B61" s="41"/>
      <c r="C61" s="3"/>
      <c r="D61" s="62" t="s">
        <v>40</v>
      </c>
      <c r="E61" s="23"/>
      <c r="F61" s="42" t="s">
        <v>41</v>
      </c>
      <c r="G61" s="26"/>
      <c r="H61" s="43" t="s">
        <v>39</v>
      </c>
      <c r="I61" s="59">
        <f>SUM(I62)</f>
        <v>10</v>
      </c>
    </row>
    <row r="62" spans="2:9">
      <c r="B62" s="41"/>
      <c r="C62" s="3"/>
      <c r="D62" s="61"/>
      <c r="E62" s="4" t="s">
        <v>144</v>
      </c>
      <c r="F62" s="44" t="s">
        <v>145</v>
      </c>
      <c r="G62" s="28"/>
      <c r="H62" s="1" t="s">
        <v>39</v>
      </c>
      <c r="I62" s="6">
        <f>G64</f>
        <v>10</v>
      </c>
    </row>
    <row r="63" spans="2:9">
      <c r="B63" s="41"/>
      <c r="C63" s="3"/>
      <c r="D63" s="61"/>
      <c r="E63" s="4"/>
      <c r="F63" s="48" t="s">
        <v>143</v>
      </c>
      <c r="G63" s="20">
        <v>10</v>
      </c>
      <c r="H63" s="49"/>
      <c r="I63" s="6"/>
    </row>
    <row r="64" spans="2:9">
      <c r="B64" s="41"/>
      <c r="C64" s="3"/>
      <c r="D64" s="61"/>
      <c r="E64" s="4"/>
      <c r="F64" s="47" t="s">
        <v>116</v>
      </c>
      <c r="G64" s="50">
        <f>SUM(G63)</f>
        <v>10</v>
      </c>
      <c r="H64" s="49"/>
      <c r="I64" s="6"/>
    </row>
    <row r="65" spans="2:9">
      <c r="B65" s="41"/>
      <c r="C65" s="3"/>
      <c r="D65" s="62" t="s">
        <v>42</v>
      </c>
      <c r="E65" s="23"/>
      <c r="F65" s="42" t="s">
        <v>43</v>
      </c>
      <c r="G65" s="26"/>
      <c r="H65" s="43" t="s">
        <v>14</v>
      </c>
      <c r="I65" s="59">
        <f>SUM(I66)</f>
        <v>71.099999999999994</v>
      </c>
    </row>
    <row r="66" spans="2:9">
      <c r="B66" s="41"/>
      <c r="C66" s="3"/>
      <c r="D66" s="61"/>
      <c r="E66" s="4" t="s">
        <v>146</v>
      </c>
      <c r="F66" s="44" t="s">
        <v>147</v>
      </c>
      <c r="G66" s="28"/>
      <c r="H66" s="1" t="s">
        <v>14</v>
      </c>
      <c r="I66" s="6">
        <f>G69</f>
        <v>71.099999999999994</v>
      </c>
    </row>
    <row r="67" spans="2:9" ht="21.5">
      <c r="B67" s="41"/>
      <c r="C67" s="3"/>
      <c r="D67" s="61"/>
      <c r="E67" s="4"/>
      <c r="F67" s="48" t="s">
        <v>148</v>
      </c>
      <c r="G67" s="20">
        <f>34.1</f>
        <v>34.1</v>
      </c>
      <c r="H67" s="49"/>
      <c r="I67" s="6"/>
    </row>
    <row r="68" spans="2:9">
      <c r="B68" s="41"/>
      <c r="C68" s="3"/>
      <c r="D68" s="61"/>
      <c r="E68" s="4"/>
      <c r="F68" s="48" t="s">
        <v>149</v>
      </c>
      <c r="G68" s="20">
        <f>37</f>
        <v>37</v>
      </c>
      <c r="H68" s="49"/>
      <c r="I68" s="6"/>
    </row>
    <row r="69" spans="2:9">
      <c r="B69" s="41"/>
      <c r="C69" s="3"/>
      <c r="D69" s="61"/>
      <c r="E69" s="4"/>
      <c r="F69" s="47" t="s">
        <v>116</v>
      </c>
      <c r="G69" s="22">
        <f>SUM(G67:G68)</f>
        <v>71.099999999999994</v>
      </c>
      <c r="H69" s="49"/>
      <c r="I69" s="6"/>
    </row>
    <row r="70" spans="2:9">
      <c r="B70" s="41"/>
      <c r="C70" s="3"/>
      <c r="D70" s="62" t="s">
        <v>44</v>
      </c>
      <c r="E70" s="23"/>
      <c r="F70" s="42" t="s">
        <v>45</v>
      </c>
      <c r="G70" s="26"/>
      <c r="H70" s="43" t="s">
        <v>14</v>
      </c>
      <c r="I70" s="59">
        <f>SUM(I71)</f>
        <v>17.600000000000001</v>
      </c>
    </row>
    <row r="71" spans="2:9">
      <c r="B71" s="41"/>
      <c r="C71" s="3"/>
      <c r="D71" s="61"/>
      <c r="E71" s="4" t="s">
        <v>150</v>
      </c>
      <c r="F71" s="44" t="s">
        <v>151</v>
      </c>
      <c r="G71" s="28"/>
      <c r="H71" s="1" t="s">
        <v>14</v>
      </c>
      <c r="I71" s="6">
        <f>G73</f>
        <v>17.600000000000001</v>
      </c>
    </row>
    <row r="72" spans="2:9">
      <c r="B72" s="41"/>
      <c r="C72" s="3"/>
      <c r="D72" s="61"/>
      <c r="E72" s="4"/>
      <c r="F72" s="48" t="s">
        <v>152</v>
      </c>
      <c r="G72" s="20">
        <f>0.4*22*2</f>
        <v>17.600000000000001</v>
      </c>
      <c r="H72" s="52"/>
      <c r="I72" s="6"/>
    </row>
    <row r="73" spans="2:9">
      <c r="B73" s="41"/>
      <c r="C73" s="3"/>
      <c r="D73" s="61"/>
      <c r="E73" s="4"/>
      <c r="F73" s="47" t="s">
        <v>116</v>
      </c>
      <c r="G73" s="22">
        <f>SUM(G72)</f>
        <v>17.600000000000001</v>
      </c>
      <c r="H73" s="53"/>
      <c r="I73" s="6"/>
    </row>
    <row r="74" spans="2:9">
      <c r="B74" s="41"/>
      <c r="C74" s="3"/>
      <c r="D74" s="62" t="s">
        <v>46</v>
      </c>
      <c r="E74" s="23"/>
      <c r="F74" s="42" t="s">
        <v>47</v>
      </c>
      <c r="G74" s="26"/>
      <c r="H74" s="43" t="s">
        <v>14</v>
      </c>
      <c r="I74" s="59">
        <f>SUM(I75)</f>
        <v>53.5</v>
      </c>
    </row>
    <row r="75" spans="2:9" ht="21.5">
      <c r="B75" s="41"/>
      <c r="C75" s="3"/>
      <c r="D75" s="61"/>
      <c r="E75" s="4" t="s">
        <v>153</v>
      </c>
      <c r="F75" s="44" t="s">
        <v>154</v>
      </c>
      <c r="G75" s="28"/>
      <c r="H75" s="1" t="s">
        <v>14</v>
      </c>
      <c r="I75" s="6">
        <f>G77</f>
        <v>53.5</v>
      </c>
    </row>
    <row r="76" spans="2:9">
      <c r="B76" s="41"/>
      <c r="C76" s="3"/>
      <c r="D76" s="61"/>
      <c r="E76" s="5"/>
      <c r="F76" s="48" t="s">
        <v>155</v>
      </c>
      <c r="G76" s="20">
        <f>71.1-17.6</f>
        <v>53.5</v>
      </c>
      <c r="H76" s="49"/>
      <c r="I76" s="6"/>
    </row>
    <row r="77" spans="2:9">
      <c r="B77" s="41"/>
      <c r="C77" s="3"/>
      <c r="D77" s="61"/>
      <c r="E77" s="4"/>
      <c r="F77" s="47" t="s">
        <v>116</v>
      </c>
      <c r="G77" s="22">
        <f>SUM(G76)</f>
        <v>53.5</v>
      </c>
      <c r="H77" s="49"/>
      <c r="I77" s="6"/>
    </row>
    <row r="78" spans="2:9">
      <c r="B78" s="41"/>
      <c r="C78" s="3"/>
      <c r="D78" s="62" t="s">
        <v>46</v>
      </c>
      <c r="E78" s="23"/>
      <c r="F78" s="42" t="s">
        <v>47</v>
      </c>
      <c r="G78" s="26"/>
      <c r="H78" s="43" t="s">
        <v>17</v>
      </c>
      <c r="I78" s="59">
        <f>SUM(I79)</f>
        <v>300</v>
      </c>
    </row>
    <row r="79" spans="2:9">
      <c r="B79" s="41"/>
      <c r="C79" s="3"/>
      <c r="D79" s="61"/>
      <c r="E79" s="4" t="s">
        <v>156</v>
      </c>
      <c r="F79" s="44" t="s">
        <v>157</v>
      </c>
      <c r="G79" s="28"/>
      <c r="H79" s="1" t="s">
        <v>17</v>
      </c>
      <c r="I79" s="6">
        <f>G81</f>
        <v>300</v>
      </c>
    </row>
    <row r="80" spans="2:9">
      <c r="B80" s="41"/>
      <c r="C80" s="3"/>
      <c r="D80" s="61"/>
      <c r="E80" s="4"/>
      <c r="F80" s="48" t="s">
        <v>140</v>
      </c>
      <c r="G80" s="20">
        <f>300</f>
        <v>300</v>
      </c>
      <c r="H80" s="49"/>
      <c r="I80" s="6"/>
    </row>
    <row r="81" spans="2:9">
      <c r="B81" s="41"/>
      <c r="C81" s="3"/>
      <c r="D81" s="61"/>
      <c r="E81" s="4"/>
      <c r="F81" s="47" t="s">
        <v>116</v>
      </c>
      <c r="G81" s="50">
        <f>SUM(G80)</f>
        <v>300</v>
      </c>
      <c r="H81" s="49"/>
      <c r="I81" s="6"/>
    </row>
    <row r="82" spans="2:9">
      <c r="B82" s="41"/>
      <c r="C82" s="3"/>
      <c r="D82" s="62" t="s">
        <v>46</v>
      </c>
      <c r="E82" s="23"/>
      <c r="F82" s="42" t="s">
        <v>47</v>
      </c>
      <c r="G82" s="26"/>
      <c r="H82" s="43" t="s">
        <v>39</v>
      </c>
      <c r="I82" s="59">
        <f>SUM(I83)</f>
        <v>10</v>
      </c>
    </row>
    <row r="83" spans="2:9">
      <c r="B83" s="41"/>
      <c r="C83" s="3"/>
      <c r="D83" s="61"/>
      <c r="E83" s="4" t="s">
        <v>158</v>
      </c>
      <c r="F83" s="44" t="s">
        <v>159</v>
      </c>
      <c r="G83" s="28"/>
      <c r="H83" s="1" t="s">
        <v>39</v>
      </c>
      <c r="I83" s="6">
        <f>G85</f>
        <v>10</v>
      </c>
    </row>
    <row r="84" spans="2:9">
      <c r="B84" s="41"/>
      <c r="C84" s="3"/>
      <c r="D84" s="61"/>
      <c r="E84" s="4"/>
      <c r="F84" s="48" t="s">
        <v>160</v>
      </c>
      <c r="G84" s="20">
        <f>10</f>
        <v>10</v>
      </c>
      <c r="H84" s="49"/>
      <c r="I84" s="6"/>
    </row>
    <row r="85" spans="2:9">
      <c r="B85" s="41"/>
      <c r="C85" s="3"/>
      <c r="D85" s="61"/>
      <c r="E85" s="4"/>
      <c r="F85" s="47" t="s">
        <v>116</v>
      </c>
      <c r="G85" s="50">
        <f>SUM(G84)</f>
        <v>10</v>
      </c>
      <c r="H85" s="49"/>
      <c r="I85" s="6"/>
    </row>
    <row r="86" spans="2:9">
      <c r="B86" s="41"/>
      <c r="C86" s="3"/>
      <c r="D86" s="61"/>
      <c r="E86" s="4"/>
      <c r="F86" s="44"/>
      <c r="G86" s="16"/>
      <c r="H86" s="1"/>
      <c r="I86" s="6"/>
    </row>
    <row r="87" spans="2:9">
      <c r="B87" s="41"/>
      <c r="C87" s="11" t="s">
        <v>48</v>
      </c>
      <c r="D87" s="61"/>
      <c r="E87" s="4"/>
      <c r="F87" s="51" t="s">
        <v>161</v>
      </c>
      <c r="G87" s="197"/>
      <c r="H87" s="1"/>
      <c r="I87" s="6"/>
    </row>
    <row r="88" spans="2:9">
      <c r="B88" s="41"/>
      <c r="C88" s="3"/>
      <c r="D88" s="62" t="s">
        <v>49</v>
      </c>
      <c r="E88" s="23"/>
      <c r="F88" s="42" t="s">
        <v>50</v>
      </c>
      <c r="G88" s="26"/>
      <c r="H88" s="43" t="s">
        <v>14</v>
      </c>
      <c r="I88" s="59">
        <f>SUM(I89)</f>
        <v>22.2</v>
      </c>
    </row>
    <row r="89" spans="2:9" ht="21.5">
      <c r="B89" s="41"/>
      <c r="C89" s="3"/>
      <c r="D89" s="61"/>
      <c r="E89" s="4" t="s">
        <v>162</v>
      </c>
      <c r="F89" s="44" t="s">
        <v>163</v>
      </c>
      <c r="G89" s="28"/>
      <c r="H89" s="1" t="s">
        <v>14</v>
      </c>
      <c r="I89" s="6">
        <f>G91</f>
        <v>22.2</v>
      </c>
    </row>
    <row r="90" spans="2:9">
      <c r="B90" s="41"/>
      <c r="C90" s="3"/>
      <c r="D90" s="61"/>
      <c r="E90" s="4"/>
      <c r="F90" s="48" t="s">
        <v>164</v>
      </c>
      <c r="G90" s="20">
        <f>(2*25+2*12)*2*0.15</f>
        <v>22.2</v>
      </c>
      <c r="H90" s="52"/>
      <c r="I90" s="6"/>
    </row>
    <row r="91" spans="2:9">
      <c r="B91" s="41"/>
      <c r="C91" s="3"/>
      <c r="D91" s="61"/>
      <c r="E91" s="4"/>
      <c r="F91" s="47" t="s">
        <v>116</v>
      </c>
      <c r="G91" s="50">
        <f>SUM(G90)</f>
        <v>22.2</v>
      </c>
      <c r="H91" s="43"/>
      <c r="I91" s="6"/>
    </row>
    <row r="92" spans="2:9">
      <c r="B92" s="41"/>
      <c r="C92" s="3"/>
      <c r="D92" s="62" t="s">
        <v>51</v>
      </c>
      <c r="E92" s="23"/>
      <c r="F92" s="42" t="s">
        <v>52</v>
      </c>
      <c r="G92" s="26"/>
      <c r="H92" s="43" t="s">
        <v>17</v>
      </c>
      <c r="I92" s="59">
        <f>SUM(I93)</f>
        <v>148</v>
      </c>
    </row>
    <row r="93" spans="2:9">
      <c r="B93" s="41"/>
      <c r="C93" s="3"/>
      <c r="D93" s="61"/>
      <c r="E93" s="4" t="s">
        <v>165</v>
      </c>
      <c r="F93" s="44" t="s">
        <v>166</v>
      </c>
      <c r="G93" s="28"/>
      <c r="H93" s="1" t="s">
        <v>17</v>
      </c>
      <c r="I93" s="6">
        <f>G95</f>
        <v>148</v>
      </c>
    </row>
    <row r="94" spans="2:9">
      <c r="B94" s="41"/>
      <c r="C94" s="3"/>
      <c r="D94" s="61"/>
      <c r="E94" s="4"/>
      <c r="F94" s="48" t="s">
        <v>167</v>
      </c>
      <c r="G94" s="20">
        <f>(2*25+2*12)*2</f>
        <v>148</v>
      </c>
      <c r="H94" s="52"/>
      <c r="I94" s="6"/>
    </row>
    <row r="95" spans="2:9">
      <c r="B95" s="41"/>
      <c r="C95" s="3"/>
      <c r="D95" s="61"/>
      <c r="E95" s="4"/>
      <c r="F95" s="47" t="s">
        <v>116</v>
      </c>
      <c r="G95" s="50">
        <f>SUM(G94)</f>
        <v>148</v>
      </c>
      <c r="H95" s="43"/>
      <c r="I95" s="6"/>
    </row>
    <row r="96" spans="2:9" ht="22">
      <c r="B96" s="41"/>
      <c r="C96" s="3"/>
      <c r="D96" s="62" t="s">
        <v>53</v>
      </c>
      <c r="E96" s="23"/>
      <c r="F96" s="42" t="s">
        <v>54</v>
      </c>
      <c r="G96" s="26"/>
      <c r="H96" s="43" t="s">
        <v>11</v>
      </c>
      <c r="I96" s="59">
        <f>SUM(I97)</f>
        <v>2.04</v>
      </c>
    </row>
    <row r="97" spans="2:9" ht="21.5">
      <c r="B97" s="41"/>
      <c r="C97" s="3"/>
      <c r="D97" s="61"/>
      <c r="E97" s="4" t="s">
        <v>168</v>
      </c>
      <c r="F97" s="44" t="s">
        <v>169</v>
      </c>
      <c r="G97" s="28"/>
      <c r="H97" s="1" t="s">
        <v>11</v>
      </c>
      <c r="I97" s="6">
        <f>G101</f>
        <v>2.04</v>
      </c>
    </row>
    <row r="98" spans="2:9">
      <c r="B98" s="41"/>
      <c r="C98" s="3"/>
      <c r="D98" s="61"/>
      <c r="E98" s="4"/>
      <c r="F98" s="48" t="s">
        <v>170</v>
      </c>
      <c r="G98" s="20">
        <v>0.33</v>
      </c>
      <c r="H98" s="49"/>
      <c r="I98" s="6"/>
    </row>
    <row r="99" spans="2:9" ht="21.5">
      <c r="B99" s="41"/>
      <c r="C99" s="3"/>
      <c r="D99" s="61"/>
      <c r="E99" s="4" t="s">
        <v>171</v>
      </c>
      <c r="F99" s="44" t="s">
        <v>172</v>
      </c>
      <c r="G99" s="28"/>
      <c r="H99" s="1"/>
      <c r="I99" s="6"/>
    </row>
    <row r="100" spans="2:9">
      <c r="B100" s="41"/>
      <c r="C100" s="3"/>
      <c r="D100" s="61"/>
      <c r="E100" s="4"/>
      <c r="F100" s="48" t="s">
        <v>173</v>
      </c>
      <c r="G100" s="20">
        <f>0.854+0.854</f>
        <v>1.71</v>
      </c>
      <c r="H100" s="49"/>
      <c r="I100" s="6"/>
    </row>
    <row r="101" spans="2:9">
      <c r="B101" s="41"/>
      <c r="C101" s="3"/>
      <c r="D101" s="61"/>
      <c r="E101" s="4"/>
      <c r="F101" s="47" t="s">
        <v>116</v>
      </c>
      <c r="G101" s="22">
        <f>SUM(G98:G100)</f>
        <v>2.04</v>
      </c>
      <c r="H101" s="49"/>
      <c r="I101" s="6"/>
    </row>
    <row r="102" spans="2:9">
      <c r="B102" s="41"/>
      <c r="C102" s="3"/>
      <c r="D102" s="62" t="s">
        <v>55</v>
      </c>
      <c r="E102" s="23"/>
      <c r="F102" s="42" t="s">
        <v>56</v>
      </c>
      <c r="G102" s="26"/>
      <c r="H102" s="43" t="s">
        <v>39</v>
      </c>
      <c r="I102" s="59">
        <f>SUM(I103)</f>
        <v>73</v>
      </c>
    </row>
    <row r="103" spans="2:9" ht="21.5">
      <c r="B103" s="41"/>
      <c r="C103" s="3"/>
      <c r="D103" s="61"/>
      <c r="E103" s="4" t="s">
        <v>174</v>
      </c>
      <c r="F103" s="44" t="s">
        <v>175</v>
      </c>
      <c r="G103" s="28"/>
      <c r="H103" s="1" t="s">
        <v>39</v>
      </c>
      <c r="I103" s="6">
        <f>G107</f>
        <v>73</v>
      </c>
    </row>
    <row r="104" spans="2:9" ht="41.5">
      <c r="B104" s="41"/>
      <c r="C104" s="3"/>
      <c r="D104" s="61"/>
      <c r="E104" s="4"/>
      <c r="F104" s="48" t="s">
        <v>368</v>
      </c>
      <c r="G104" s="20">
        <v>4</v>
      </c>
      <c r="H104" s="49"/>
      <c r="I104" s="6"/>
    </row>
    <row r="105" spans="2:9" ht="41.5">
      <c r="B105" s="41"/>
      <c r="C105" s="3"/>
      <c r="D105" s="61"/>
      <c r="E105" s="4"/>
      <c r="F105" s="48" t="s">
        <v>369</v>
      </c>
      <c r="G105" s="20">
        <v>26</v>
      </c>
      <c r="H105" s="49"/>
      <c r="I105" s="6"/>
    </row>
    <row r="106" spans="2:9" ht="41.5">
      <c r="B106" s="41"/>
      <c r="C106" s="3"/>
      <c r="D106" s="61"/>
      <c r="E106" s="4"/>
      <c r="F106" s="48" t="s">
        <v>370</v>
      </c>
      <c r="G106" s="20">
        <v>43</v>
      </c>
      <c r="H106" s="49"/>
      <c r="I106" s="6"/>
    </row>
    <row r="107" spans="2:9">
      <c r="B107" s="41"/>
      <c r="C107" s="3"/>
      <c r="D107" s="61"/>
      <c r="E107" s="4"/>
      <c r="F107" s="47" t="s">
        <v>116</v>
      </c>
      <c r="G107" s="22">
        <f>SUM(G104:G106)</f>
        <v>73</v>
      </c>
      <c r="H107" s="49"/>
      <c r="I107" s="6"/>
    </row>
    <row r="108" spans="2:9">
      <c r="B108" s="41"/>
      <c r="C108" s="3"/>
      <c r="D108" s="62" t="s">
        <v>57</v>
      </c>
      <c r="E108" s="23"/>
      <c r="F108" s="42" t="s">
        <v>58</v>
      </c>
      <c r="G108" s="26"/>
      <c r="H108" s="43" t="s">
        <v>14</v>
      </c>
      <c r="I108" s="59">
        <f>SUM(I109)</f>
        <v>1206.6600000000001</v>
      </c>
    </row>
    <row r="109" spans="2:9">
      <c r="B109" s="41"/>
      <c r="C109" s="3"/>
      <c r="D109" s="61"/>
      <c r="E109" s="4" t="s">
        <v>176</v>
      </c>
      <c r="F109" s="44" t="s">
        <v>177</v>
      </c>
      <c r="G109" s="28"/>
      <c r="H109" s="1" t="s">
        <v>14</v>
      </c>
      <c r="I109" s="6">
        <f>G111</f>
        <v>1206.6600000000001</v>
      </c>
    </row>
    <row r="110" spans="2:9" ht="41.5">
      <c r="B110" s="41"/>
      <c r="C110" s="3"/>
      <c r="D110" s="61"/>
      <c r="E110" s="4"/>
      <c r="F110" s="193" t="s">
        <v>367</v>
      </c>
      <c r="G110" s="20">
        <f>1.8*0.5*1+9.6*2*15.7*4</f>
        <v>1206.6600000000001</v>
      </c>
      <c r="H110" s="52"/>
      <c r="I110" s="6"/>
    </row>
    <row r="111" spans="2:9">
      <c r="B111" s="41"/>
      <c r="C111" s="3"/>
      <c r="D111" s="61"/>
      <c r="E111" s="4"/>
      <c r="F111" s="47" t="s">
        <v>116</v>
      </c>
      <c r="G111" s="22">
        <f>SUM(G109:G110)</f>
        <v>1206.6600000000001</v>
      </c>
      <c r="H111" s="53"/>
      <c r="I111" s="6"/>
    </row>
    <row r="112" spans="2:9" ht="22">
      <c r="B112" s="41"/>
      <c r="C112" s="3"/>
      <c r="D112" s="62" t="s">
        <v>70</v>
      </c>
      <c r="E112" s="23"/>
      <c r="F112" s="42" t="s">
        <v>71</v>
      </c>
      <c r="G112" s="26"/>
      <c r="H112" s="43" t="s">
        <v>17</v>
      </c>
      <c r="I112" s="59">
        <f>SUM(I113)</f>
        <v>0.91</v>
      </c>
    </row>
    <row r="113" spans="2:9">
      <c r="B113" s="41"/>
      <c r="C113" s="3"/>
      <c r="D113" s="61"/>
      <c r="E113" s="4" t="s">
        <v>178</v>
      </c>
      <c r="F113" s="44" t="s">
        <v>71</v>
      </c>
      <c r="G113" s="28"/>
      <c r="H113" s="1" t="s">
        <v>17</v>
      </c>
      <c r="I113" s="6">
        <f>G115</f>
        <v>0.91</v>
      </c>
    </row>
    <row r="114" spans="2:9" ht="21.5">
      <c r="B114" s="41"/>
      <c r="C114" s="3"/>
      <c r="D114" s="61"/>
      <c r="E114" s="4"/>
      <c r="F114" s="48" t="s">
        <v>179</v>
      </c>
      <c r="G114" s="20">
        <f>73*0.5*0.5*0.05</f>
        <v>0.91</v>
      </c>
      <c r="H114" s="52">
        <f>0.9</f>
        <v>0.9</v>
      </c>
      <c r="I114" s="6"/>
    </row>
    <row r="115" spans="2:9">
      <c r="B115" s="41"/>
      <c r="C115" s="3"/>
      <c r="D115" s="61"/>
      <c r="E115" s="4"/>
      <c r="F115" s="47" t="s">
        <v>116</v>
      </c>
      <c r="G115" s="22">
        <f>SUM(G114)</f>
        <v>0.91</v>
      </c>
      <c r="H115" s="53">
        <f>SUM(H112:H114)</f>
        <v>0.9</v>
      </c>
      <c r="I115" s="6"/>
    </row>
    <row r="116" spans="2:9" ht="24">
      <c r="B116" s="41"/>
      <c r="C116" s="11" t="s">
        <v>64</v>
      </c>
      <c r="D116" s="61"/>
      <c r="E116" s="4"/>
      <c r="F116" s="51" t="s">
        <v>180</v>
      </c>
      <c r="G116" s="28"/>
      <c r="H116" s="1"/>
      <c r="I116" s="6"/>
    </row>
    <row r="117" spans="2:9">
      <c r="B117" s="41"/>
      <c r="C117" s="3"/>
      <c r="D117" s="62" t="s">
        <v>181</v>
      </c>
      <c r="E117" s="23"/>
      <c r="F117" s="42" t="s">
        <v>182</v>
      </c>
      <c r="G117" s="26"/>
      <c r="H117" s="43" t="s">
        <v>14</v>
      </c>
      <c r="I117" s="59">
        <f>SUM(I118)</f>
        <v>39.4</v>
      </c>
    </row>
    <row r="118" spans="2:9">
      <c r="B118" s="41"/>
      <c r="C118" s="3"/>
      <c r="D118" s="61"/>
      <c r="E118" s="4" t="s">
        <v>183</v>
      </c>
      <c r="F118" s="44" t="s">
        <v>182</v>
      </c>
      <c r="G118" s="28"/>
      <c r="H118" s="1" t="s">
        <v>14</v>
      </c>
      <c r="I118" s="6">
        <f>G120</f>
        <v>39.4</v>
      </c>
    </row>
    <row r="119" spans="2:9">
      <c r="B119" s="41"/>
      <c r="C119" s="3"/>
      <c r="D119" s="61"/>
      <c r="E119" s="4"/>
      <c r="F119" s="48" t="s">
        <v>184</v>
      </c>
      <c r="G119" s="20">
        <f>39.4</f>
        <v>39.4</v>
      </c>
      <c r="H119" s="49"/>
      <c r="I119" s="6"/>
    </row>
    <row r="120" spans="2:9">
      <c r="B120" s="41"/>
      <c r="C120" s="3"/>
      <c r="D120" s="61"/>
      <c r="E120" s="4"/>
      <c r="F120" s="47" t="s">
        <v>116</v>
      </c>
      <c r="G120" s="22">
        <f>SUM(G118:G119)</f>
        <v>39.4</v>
      </c>
      <c r="H120" s="49"/>
      <c r="I120" s="6"/>
    </row>
    <row r="121" spans="2:9" ht="22">
      <c r="B121" s="41"/>
      <c r="C121" s="3"/>
      <c r="D121" s="62" t="s">
        <v>62</v>
      </c>
      <c r="E121" s="23"/>
      <c r="F121" s="42" t="s">
        <v>63</v>
      </c>
      <c r="G121" s="26"/>
      <c r="H121" s="43" t="s">
        <v>17</v>
      </c>
      <c r="I121" s="59">
        <f>SUM(I122)</f>
        <v>157.5</v>
      </c>
    </row>
    <row r="122" spans="2:9" ht="21.5">
      <c r="B122" s="41"/>
      <c r="C122" s="3"/>
      <c r="D122" s="61"/>
      <c r="E122" s="4" t="s">
        <v>185</v>
      </c>
      <c r="F122" s="44" t="s">
        <v>186</v>
      </c>
      <c r="G122" s="28"/>
      <c r="H122" s="1" t="s">
        <v>17</v>
      </c>
      <c r="I122" s="6">
        <f>G124</f>
        <v>157.5</v>
      </c>
    </row>
    <row r="123" spans="2:9" ht="21.5">
      <c r="B123" s="41"/>
      <c r="C123" s="3"/>
      <c r="D123" s="61"/>
      <c r="E123" s="4"/>
      <c r="F123" s="48" t="s">
        <v>187</v>
      </c>
      <c r="G123" s="20">
        <f>0.5*1+2.5*15.7*4</f>
        <v>157.5</v>
      </c>
      <c r="H123" s="49"/>
      <c r="I123" s="6"/>
    </row>
    <row r="124" spans="2:9">
      <c r="B124" s="41"/>
      <c r="C124" s="3"/>
      <c r="D124" s="61"/>
      <c r="E124" s="4"/>
      <c r="F124" s="47" t="s">
        <v>116</v>
      </c>
      <c r="G124" s="22">
        <f>SUM(G121:G123)</f>
        <v>157.5</v>
      </c>
      <c r="H124" s="49"/>
      <c r="I124" s="6"/>
    </row>
    <row r="125" spans="2:9">
      <c r="B125" s="41"/>
      <c r="C125" s="3"/>
      <c r="D125" s="62" t="s">
        <v>65</v>
      </c>
      <c r="E125" s="23"/>
      <c r="F125" s="42" t="s">
        <v>66</v>
      </c>
      <c r="G125" s="26"/>
      <c r="H125" s="43" t="s">
        <v>33</v>
      </c>
      <c r="I125" s="59">
        <f>SUM(I126)</f>
        <v>41</v>
      </c>
    </row>
    <row r="126" spans="2:9">
      <c r="B126" s="41"/>
      <c r="C126" s="3"/>
      <c r="D126" s="61"/>
      <c r="E126" s="4" t="s">
        <v>188</v>
      </c>
      <c r="F126" s="44" t="s">
        <v>189</v>
      </c>
      <c r="G126" s="28"/>
      <c r="H126" s="1" t="s">
        <v>33</v>
      </c>
      <c r="I126" s="6">
        <f>G128</f>
        <v>41</v>
      </c>
    </row>
    <row r="127" spans="2:9" ht="21.5">
      <c r="B127" s="41"/>
      <c r="C127" s="3"/>
      <c r="D127" s="61"/>
      <c r="E127" s="4"/>
      <c r="F127" s="48" t="s">
        <v>190</v>
      </c>
      <c r="G127" s="20">
        <f>41</f>
        <v>41</v>
      </c>
      <c r="H127" s="49"/>
      <c r="I127" s="6"/>
    </row>
    <row r="128" spans="2:9">
      <c r="B128" s="41"/>
      <c r="C128" s="3"/>
      <c r="D128" s="61"/>
      <c r="E128" s="4"/>
      <c r="F128" s="47" t="s">
        <v>116</v>
      </c>
      <c r="G128" s="22">
        <f>SUM(G125:G127)</f>
        <v>41</v>
      </c>
      <c r="H128" s="49"/>
      <c r="I128" s="6"/>
    </row>
    <row r="129" spans="2:9" ht="24">
      <c r="B129" s="41"/>
      <c r="C129" s="11" t="s">
        <v>72</v>
      </c>
      <c r="D129" s="61"/>
      <c r="E129" s="4"/>
      <c r="F129" s="51" t="s">
        <v>191</v>
      </c>
      <c r="G129" s="28"/>
      <c r="H129" s="1"/>
      <c r="I129" s="6"/>
    </row>
    <row r="130" spans="2:9">
      <c r="B130" s="41"/>
      <c r="C130" s="3"/>
      <c r="D130" s="62" t="s">
        <v>73</v>
      </c>
      <c r="E130" s="23"/>
      <c r="F130" s="42" t="s">
        <v>74</v>
      </c>
      <c r="G130" s="26"/>
      <c r="H130" s="43" t="s">
        <v>17</v>
      </c>
      <c r="I130" s="59">
        <f>SUM(I131)</f>
        <v>3.6</v>
      </c>
    </row>
    <row r="131" spans="2:9">
      <c r="B131" s="41"/>
      <c r="C131" s="3"/>
      <c r="D131" s="61"/>
      <c r="E131" s="4" t="s">
        <v>192</v>
      </c>
      <c r="F131" s="44" t="s">
        <v>193</v>
      </c>
      <c r="G131" s="28"/>
      <c r="H131" s="1" t="s">
        <v>17</v>
      </c>
      <c r="I131" s="6">
        <f>G133</f>
        <v>3.6</v>
      </c>
    </row>
    <row r="132" spans="2:9" ht="21.5">
      <c r="B132" s="41"/>
      <c r="C132" s="3"/>
      <c r="D132" s="61"/>
      <c r="E132" s="4"/>
      <c r="F132" s="48" t="s">
        <v>194</v>
      </c>
      <c r="G132" s="20">
        <f>3.6</f>
        <v>3.6</v>
      </c>
      <c r="H132" s="49"/>
      <c r="I132" s="6"/>
    </row>
    <row r="133" spans="2:9">
      <c r="B133" s="41"/>
      <c r="C133" s="3"/>
      <c r="D133" s="61"/>
      <c r="E133" s="4"/>
      <c r="F133" s="47" t="s">
        <v>116</v>
      </c>
      <c r="G133" s="22">
        <f>SUM(G130:G132)</f>
        <v>3.6</v>
      </c>
      <c r="H133" s="49"/>
      <c r="I133" s="6"/>
    </row>
    <row r="134" spans="2:9">
      <c r="B134" s="41"/>
      <c r="C134" s="3"/>
      <c r="D134" s="62" t="s">
        <v>75</v>
      </c>
      <c r="E134" s="23"/>
      <c r="F134" s="42" t="s">
        <v>76</v>
      </c>
      <c r="G134" s="26"/>
      <c r="H134" s="43" t="s">
        <v>17</v>
      </c>
      <c r="I134" s="59">
        <f>SUM(I135)</f>
        <v>130.5</v>
      </c>
    </row>
    <row r="135" spans="2:9">
      <c r="B135" s="41"/>
      <c r="C135" s="3"/>
      <c r="D135" s="61"/>
      <c r="E135" s="4" t="s">
        <v>195</v>
      </c>
      <c r="F135" s="44" t="s">
        <v>196</v>
      </c>
      <c r="G135" s="28"/>
      <c r="H135" s="1" t="s">
        <v>17</v>
      </c>
      <c r="I135" s="6">
        <f>G137</f>
        <v>130.5</v>
      </c>
    </row>
    <row r="136" spans="2:9" ht="21.5">
      <c r="B136" s="41"/>
      <c r="C136" s="3"/>
      <c r="D136" s="61"/>
      <c r="E136" s="4"/>
      <c r="F136" s="48" t="s">
        <v>197</v>
      </c>
      <c r="G136" s="20">
        <f>130.5</f>
        <v>130.5</v>
      </c>
      <c r="H136" s="49"/>
      <c r="I136" s="6"/>
    </row>
    <row r="137" spans="2:9">
      <c r="B137" s="41"/>
      <c r="C137" s="3"/>
      <c r="D137" s="61"/>
      <c r="E137" s="4"/>
      <c r="F137" s="47" t="s">
        <v>116</v>
      </c>
      <c r="G137" s="22">
        <f>SUM(G134:G136)</f>
        <v>130.5</v>
      </c>
      <c r="H137" s="49"/>
      <c r="I137" s="6"/>
    </row>
    <row r="138" spans="2:9">
      <c r="B138" s="41"/>
      <c r="C138" s="11" t="s">
        <v>106</v>
      </c>
      <c r="D138" s="61"/>
      <c r="E138" s="4"/>
      <c r="F138" s="51" t="s">
        <v>198</v>
      </c>
      <c r="G138" s="28"/>
      <c r="H138" s="1"/>
      <c r="I138" s="6"/>
    </row>
    <row r="139" spans="2:9" ht="22">
      <c r="B139" s="41"/>
      <c r="C139" s="3"/>
      <c r="D139" s="62" t="s">
        <v>107</v>
      </c>
      <c r="E139" s="23"/>
      <c r="F139" s="42" t="s">
        <v>108</v>
      </c>
      <c r="G139" s="26"/>
      <c r="H139" s="43" t="s">
        <v>17</v>
      </c>
      <c r="I139" s="59">
        <f>SUM(I140)</f>
        <v>50</v>
      </c>
    </row>
    <row r="140" spans="2:9" ht="21.5">
      <c r="B140" s="41"/>
      <c r="C140" s="3"/>
      <c r="D140" s="61"/>
      <c r="E140" s="4" t="s">
        <v>199</v>
      </c>
      <c r="F140" s="44" t="s">
        <v>200</v>
      </c>
      <c r="G140" s="28"/>
      <c r="H140" s="1" t="s">
        <v>17</v>
      </c>
      <c r="I140" s="6">
        <f>G142</f>
        <v>50</v>
      </c>
    </row>
    <row r="141" spans="2:9">
      <c r="B141" s="41"/>
      <c r="C141" s="3"/>
      <c r="D141" s="61"/>
      <c r="E141" s="4"/>
      <c r="F141" s="48" t="s">
        <v>201</v>
      </c>
      <c r="G141" s="20">
        <f>50</f>
        <v>50</v>
      </c>
      <c r="H141" s="49"/>
      <c r="I141" s="6"/>
    </row>
    <row r="142" spans="2:9">
      <c r="B142" s="41"/>
      <c r="C142" s="3"/>
      <c r="D142" s="61"/>
      <c r="E142" s="4"/>
      <c r="F142" s="47" t="s">
        <v>116</v>
      </c>
      <c r="G142" s="22">
        <f>SUM(G139:G141)</f>
        <v>50</v>
      </c>
      <c r="H142" s="49"/>
      <c r="I142" s="6"/>
    </row>
    <row r="143" spans="2:9">
      <c r="B143" s="41"/>
      <c r="C143" s="11" t="s">
        <v>67</v>
      </c>
      <c r="D143" s="61"/>
      <c r="E143" s="4"/>
      <c r="F143" s="51" t="s">
        <v>202</v>
      </c>
      <c r="G143" s="28"/>
      <c r="H143" s="1"/>
      <c r="I143" s="6"/>
    </row>
    <row r="144" spans="2:9">
      <c r="B144" s="41"/>
      <c r="C144" s="3"/>
      <c r="D144" s="62" t="s">
        <v>203</v>
      </c>
      <c r="E144" s="23"/>
      <c r="F144" s="42" t="s">
        <v>204</v>
      </c>
      <c r="G144" s="26"/>
      <c r="H144" s="43" t="s">
        <v>33</v>
      </c>
      <c r="I144" s="59">
        <f>SUM(I145)</f>
        <v>196.68</v>
      </c>
    </row>
    <row r="145" spans="2:9">
      <c r="B145" s="41"/>
      <c r="C145" s="3"/>
      <c r="D145" s="61"/>
      <c r="E145" s="4" t="s">
        <v>205</v>
      </c>
      <c r="F145" s="44" t="s">
        <v>206</v>
      </c>
      <c r="G145" s="28"/>
      <c r="H145" s="1" t="s">
        <v>33</v>
      </c>
      <c r="I145" s="6">
        <f>G147</f>
        <v>196.68</v>
      </c>
    </row>
    <row r="146" spans="2:9" ht="21.5">
      <c r="B146" s="41"/>
      <c r="C146" s="3"/>
      <c r="D146" s="61"/>
      <c r="E146" s="4"/>
      <c r="F146" s="48" t="s">
        <v>207</v>
      </c>
      <c r="G146" s="20">
        <f>0.11*1788</f>
        <v>196.68</v>
      </c>
      <c r="H146" s="1"/>
      <c r="I146" s="6"/>
    </row>
    <row r="147" spans="2:9">
      <c r="B147" s="41"/>
      <c r="C147" s="3"/>
      <c r="D147" s="61"/>
      <c r="E147" s="4"/>
      <c r="F147" s="47" t="s">
        <v>116</v>
      </c>
      <c r="G147" s="22">
        <f>SUM(G144:G146)</f>
        <v>196.68</v>
      </c>
      <c r="H147" s="53"/>
      <c r="I147" s="6"/>
    </row>
    <row r="148" spans="2:9">
      <c r="B148" s="41"/>
      <c r="C148" s="3"/>
      <c r="D148" s="62" t="s">
        <v>68</v>
      </c>
      <c r="E148" s="23"/>
      <c r="F148" s="42" t="s">
        <v>69</v>
      </c>
      <c r="G148" s="26"/>
      <c r="H148" s="43" t="s">
        <v>39</v>
      </c>
      <c r="I148" s="59">
        <f>SUM(I149)</f>
        <v>1788</v>
      </c>
    </row>
    <row r="149" spans="2:9">
      <c r="B149" s="41"/>
      <c r="C149" s="3"/>
      <c r="D149" s="61"/>
      <c r="E149" s="4" t="s">
        <v>208</v>
      </c>
      <c r="F149" s="44" t="s">
        <v>209</v>
      </c>
      <c r="G149" s="28"/>
      <c r="H149" s="1" t="s">
        <v>39</v>
      </c>
      <c r="I149" s="6">
        <f>G151</f>
        <v>1788</v>
      </c>
    </row>
    <row r="150" spans="2:9" ht="21.5">
      <c r="B150" s="41"/>
      <c r="C150" s="3"/>
      <c r="D150" s="61"/>
      <c r="E150" s="4"/>
      <c r="F150" s="48" t="s">
        <v>210</v>
      </c>
      <c r="G150" s="20">
        <v>1788</v>
      </c>
      <c r="H150" s="1"/>
      <c r="I150" s="6"/>
    </row>
    <row r="151" spans="2:9">
      <c r="B151" s="41"/>
      <c r="C151" s="3"/>
      <c r="D151" s="61"/>
      <c r="E151" s="4"/>
      <c r="F151" s="47" t="s">
        <v>116</v>
      </c>
      <c r="G151" s="22">
        <f>SUM(G148:G150)</f>
        <v>1788</v>
      </c>
      <c r="H151" s="53"/>
      <c r="I151" s="6"/>
    </row>
    <row r="152" spans="2:9">
      <c r="B152" s="41"/>
      <c r="C152" s="3"/>
      <c r="D152" s="62" t="s">
        <v>211</v>
      </c>
      <c r="E152" s="23"/>
      <c r="F152" s="42" t="s">
        <v>212</v>
      </c>
      <c r="G152" s="26"/>
      <c r="H152" s="43" t="s">
        <v>17</v>
      </c>
      <c r="I152" s="59">
        <f>SUM(I153)</f>
        <v>148</v>
      </c>
    </row>
    <row r="153" spans="2:9">
      <c r="B153" s="41"/>
      <c r="C153" s="3"/>
      <c r="D153" s="61"/>
      <c r="E153" s="4" t="s">
        <v>213</v>
      </c>
      <c r="F153" s="44" t="s">
        <v>214</v>
      </c>
      <c r="G153" s="28"/>
      <c r="H153" s="1" t="s">
        <v>17</v>
      </c>
      <c r="I153" s="6">
        <f>G155</f>
        <v>148</v>
      </c>
    </row>
    <row r="154" spans="2:9">
      <c r="B154" s="41"/>
      <c r="C154" s="3"/>
      <c r="D154" s="61"/>
      <c r="E154" s="4"/>
      <c r="F154" s="48" t="s">
        <v>215</v>
      </c>
      <c r="G154" s="20">
        <f>(2*25+2*12)*2</f>
        <v>148</v>
      </c>
      <c r="H154" s="1"/>
      <c r="I154" s="6"/>
    </row>
    <row r="155" spans="2:9">
      <c r="B155" s="41"/>
      <c r="C155" s="3"/>
      <c r="D155" s="61"/>
      <c r="E155" s="4"/>
      <c r="F155" s="47" t="s">
        <v>116</v>
      </c>
      <c r="G155" s="22">
        <f>SUM(G152:G154)</f>
        <v>148</v>
      </c>
      <c r="H155" s="53"/>
      <c r="I155" s="6"/>
    </row>
    <row r="156" spans="2:9">
      <c r="B156" s="41"/>
      <c r="C156" s="11" t="s">
        <v>77</v>
      </c>
      <c r="D156" s="61"/>
      <c r="E156" s="4"/>
      <c r="F156" s="51" t="s">
        <v>216</v>
      </c>
      <c r="G156" s="28"/>
      <c r="H156" s="1"/>
      <c r="I156" s="6"/>
    </row>
    <row r="157" spans="2:9">
      <c r="B157" s="41"/>
      <c r="C157" s="3"/>
      <c r="D157" s="62" t="s">
        <v>78</v>
      </c>
      <c r="E157" s="23"/>
      <c r="F157" s="42" t="s">
        <v>79</v>
      </c>
      <c r="G157" s="26"/>
      <c r="H157" s="43" t="s">
        <v>14</v>
      </c>
      <c r="I157" s="59">
        <f>SUM(I158)</f>
        <v>8.36</v>
      </c>
    </row>
    <row r="158" spans="2:9">
      <c r="B158" s="41"/>
      <c r="C158" s="3"/>
      <c r="D158" s="61"/>
      <c r="E158" s="204" t="s">
        <v>383</v>
      </c>
      <c r="F158" s="44" t="s">
        <v>382</v>
      </c>
      <c r="G158" s="28"/>
      <c r="H158" s="1" t="s">
        <v>14</v>
      </c>
      <c r="I158" s="6">
        <f>G160</f>
        <v>8.36</v>
      </c>
    </row>
    <row r="159" spans="2:9">
      <c r="B159" s="41"/>
      <c r="C159" s="3"/>
      <c r="D159" s="61"/>
      <c r="E159" s="4"/>
      <c r="F159" s="48" t="s">
        <v>386</v>
      </c>
      <c r="G159" s="20">
        <f>(5.425+5.72)*0.75</f>
        <v>8.36</v>
      </c>
      <c r="H159" s="1"/>
      <c r="I159" s="6"/>
    </row>
    <row r="160" spans="2:9">
      <c r="B160" s="41"/>
      <c r="C160" s="3"/>
      <c r="D160" s="61"/>
      <c r="E160" s="4"/>
      <c r="F160" s="47" t="s">
        <v>116</v>
      </c>
      <c r="G160" s="22">
        <f>SUM(G157:G159)</f>
        <v>8.36</v>
      </c>
      <c r="H160" s="53"/>
      <c r="I160" s="6"/>
    </row>
    <row r="161" spans="2:9">
      <c r="B161" s="41"/>
      <c r="C161" s="3"/>
      <c r="D161" s="62" t="s">
        <v>80</v>
      </c>
      <c r="E161" s="23"/>
      <c r="F161" s="42" t="s">
        <v>81</v>
      </c>
      <c r="G161" s="26"/>
      <c r="H161" s="43" t="s">
        <v>17</v>
      </c>
      <c r="I161" s="59">
        <f>SUM(I162)</f>
        <v>37.950000000000003</v>
      </c>
    </row>
    <row r="162" spans="2:9">
      <c r="B162" s="41"/>
      <c r="C162" s="3"/>
      <c r="D162" s="61"/>
      <c r="E162" s="4" t="s">
        <v>217</v>
      </c>
      <c r="F162" s="44" t="s">
        <v>218</v>
      </c>
      <c r="G162" s="28"/>
      <c r="H162" s="1" t="s">
        <v>17</v>
      </c>
      <c r="I162" s="6">
        <f>G164</f>
        <v>37.950000000000003</v>
      </c>
    </row>
    <row r="163" spans="2:9">
      <c r="B163" s="41"/>
      <c r="C163" s="3"/>
      <c r="D163" s="61"/>
      <c r="E163" s="4"/>
      <c r="F163" s="48" t="s">
        <v>219</v>
      </c>
      <c r="G163" s="20">
        <f>(7.4+8.1)*0.9+6*4</f>
        <v>37.950000000000003</v>
      </c>
      <c r="H163" s="1"/>
      <c r="I163" s="6"/>
    </row>
    <row r="164" spans="2:9">
      <c r="B164" s="41"/>
      <c r="C164" s="3"/>
      <c r="D164" s="61"/>
      <c r="E164" s="4"/>
      <c r="F164" s="47" t="s">
        <v>116</v>
      </c>
      <c r="G164" s="22">
        <f>SUM(G161:G163)</f>
        <v>37.950000000000003</v>
      </c>
      <c r="H164" s="53"/>
      <c r="I164" s="6"/>
    </row>
    <row r="165" spans="2:9">
      <c r="B165" s="41"/>
      <c r="C165" s="3"/>
      <c r="D165" s="62" t="s">
        <v>82</v>
      </c>
      <c r="E165" s="23"/>
      <c r="F165" s="42" t="s">
        <v>83</v>
      </c>
      <c r="G165" s="26"/>
      <c r="H165" s="43" t="s">
        <v>11</v>
      </c>
      <c r="I165" s="59">
        <f>SUM(I166)</f>
        <v>0.47</v>
      </c>
    </row>
    <row r="166" spans="2:9" ht="21.5">
      <c r="B166" s="41"/>
      <c r="C166" s="3"/>
      <c r="D166" s="61"/>
      <c r="E166" s="4">
        <v>1109022107</v>
      </c>
      <c r="F166" s="44" t="s">
        <v>220</v>
      </c>
      <c r="G166" s="28"/>
      <c r="H166" s="1" t="s">
        <v>11</v>
      </c>
      <c r="I166" s="6">
        <f>G168</f>
        <v>0.47</v>
      </c>
    </row>
    <row r="167" spans="2:9">
      <c r="B167" s="41"/>
      <c r="C167" s="3"/>
      <c r="D167" s="61"/>
      <c r="E167" s="4"/>
      <c r="F167" s="48" t="s">
        <v>221</v>
      </c>
      <c r="G167" s="20">
        <v>0.47</v>
      </c>
      <c r="H167" s="49"/>
      <c r="I167" s="6"/>
    </row>
    <row r="168" spans="2:9">
      <c r="B168" s="41"/>
      <c r="C168" s="3"/>
      <c r="D168" s="61"/>
      <c r="E168" s="4"/>
      <c r="F168" s="47" t="s">
        <v>116</v>
      </c>
      <c r="G168" s="22">
        <f>SUM(G165:G167)</f>
        <v>0.47</v>
      </c>
      <c r="H168" s="53"/>
      <c r="I168" s="6"/>
    </row>
    <row r="169" spans="2:9">
      <c r="B169" s="41"/>
      <c r="C169" s="3"/>
      <c r="D169" s="62" t="s">
        <v>84</v>
      </c>
      <c r="E169" s="23"/>
      <c r="F169" s="42" t="s">
        <v>85</v>
      </c>
      <c r="G169" s="26"/>
      <c r="H169" s="43" t="s">
        <v>14</v>
      </c>
      <c r="I169" s="59">
        <f>SUM(I170)</f>
        <v>11</v>
      </c>
    </row>
    <row r="170" spans="2:9">
      <c r="B170" s="41"/>
      <c r="C170" s="3"/>
      <c r="D170" s="61"/>
      <c r="E170" s="4" t="s">
        <v>222</v>
      </c>
      <c r="F170" s="44" t="s">
        <v>85</v>
      </c>
      <c r="G170" s="28"/>
      <c r="H170" s="1" t="s">
        <v>14</v>
      </c>
      <c r="I170" s="6">
        <f>G172</f>
        <v>11</v>
      </c>
    </row>
    <row r="171" spans="2:9">
      <c r="B171" s="41"/>
      <c r="C171" s="3"/>
      <c r="D171" s="61"/>
      <c r="E171" s="4"/>
      <c r="F171" s="48" t="s">
        <v>223</v>
      </c>
      <c r="G171" s="20">
        <f>(5+5)*1.1</f>
        <v>11</v>
      </c>
      <c r="H171" s="1"/>
      <c r="I171" s="6"/>
    </row>
    <row r="172" spans="2:9">
      <c r="B172" s="54"/>
      <c r="C172" s="30"/>
      <c r="D172" s="63"/>
      <c r="E172" s="31"/>
      <c r="F172" s="55" t="s">
        <v>116</v>
      </c>
      <c r="G172" s="56">
        <f>SUM(G169:G171)</f>
        <v>11</v>
      </c>
      <c r="H172" s="57"/>
      <c r="I172" s="34"/>
    </row>
  </sheetData>
  <sheetProtection algorithmName="SHA-512" hashValue="CokjReDqRWhdpCfNGuBwZuNrTtVXd8uSqJRpSi3bvwxuZ83WUtBrQzzqDnf8B1rjOO0pPjiUiBa8YGIdAF2Xrw==" saltValue="Xz+cd11zu3B3CCJ6UPhZpg==" spinCount="100000" sheet="1" objects="1" scenarios="1"/>
  <mergeCells count="3">
    <mergeCell ref="D7:E7"/>
    <mergeCell ref="B26:I26"/>
    <mergeCell ref="B27:F27"/>
  </mergeCells>
  <pageMargins left="0.7" right="0.7" top="0.75" bottom="0.75" header="0.3" footer="0.3"/>
  <pageSetup paperSize="9" scale="72" orientation="portrait" r:id="rId1"/>
  <colBreaks count="1" manualBreakCount="1">
    <brk id="10" min="4" max="1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I59"/>
  <sheetViews>
    <sheetView zoomScaleNormal="100" workbookViewId="0">
      <selection activeCell="N42" sqref="N42"/>
    </sheetView>
  </sheetViews>
  <sheetFormatPr defaultColWidth="8.7265625" defaultRowHeight="14.5"/>
  <cols>
    <col min="1" max="1" width="2.26953125" style="70" customWidth="1"/>
    <col min="2" max="2" width="30.7265625" style="70" customWidth="1"/>
    <col min="3" max="4" width="7.81640625" style="70" bestFit="1" customWidth="1"/>
    <col min="5" max="5" width="50.7265625" style="70" customWidth="1"/>
    <col min="6" max="6" width="6" style="70" bestFit="1" customWidth="1"/>
    <col min="7" max="7" width="8.81640625" style="70" bestFit="1" customWidth="1"/>
    <col min="8" max="8" width="1.54296875" style="70" customWidth="1"/>
    <col min="9" max="9" width="17.26953125" style="70" customWidth="1"/>
    <col min="10" max="16384" width="8.7265625" style="70"/>
  </cols>
  <sheetData>
    <row r="1" spans="2:9">
      <c r="I1" s="182" t="s">
        <v>363</v>
      </c>
    </row>
    <row r="2" spans="2:9">
      <c r="I2" s="182" t="s">
        <v>353</v>
      </c>
    </row>
    <row r="3" spans="2:9">
      <c r="B3" s="186" t="s">
        <v>364</v>
      </c>
    </row>
    <row r="4" spans="2:9">
      <c r="B4" s="186" t="s">
        <v>360</v>
      </c>
    </row>
    <row r="6" spans="2:9">
      <c r="B6" s="195" t="s">
        <v>262</v>
      </c>
      <c r="C6" s="232" t="s">
        <v>1</v>
      </c>
      <c r="D6" s="232"/>
      <c r="E6" s="195" t="s">
        <v>2</v>
      </c>
      <c r="F6" s="195" t="s">
        <v>3</v>
      </c>
      <c r="G6" s="75" t="s">
        <v>4</v>
      </c>
      <c r="H6" s="113"/>
      <c r="I6" s="77" t="s">
        <v>5</v>
      </c>
    </row>
    <row r="7" spans="2:9" ht="21.5">
      <c r="B7" s="80" t="s">
        <v>263</v>
      </c>
      <c r="C7" s="81" t="s">
        <v>8</v>
      </c>
      <c r="D7" s="81" t="s">
        <v>9</v>
      </c>
      <c r="E7" s="82" t="s">
        <v>10</v>
      </c>
      <c r="F7" s="83" t="s">
        <v>11</v>
      </c>
      <c r="G7" s="84">
        <v>257.08</v>
      </c>
      <c r="H7" s="88"/>
      <c r="I7" s="171"/>
    </row>
    <row r="8" spans="2:9">
      <c r="B8" s="86"/>
      <c r="C8" s="81" t="s">
        <v>8</v>
      </c>
      <c r="D8" s="81" t="s">
        <v>12</v>
      </c>
      <c r="E8" s="82" t="s">
        <v>13</v>
      </c>
      <c r="F8" s="83" t="s">
        <v>14</v>
      </c>
      <c r="G8" s="84">
        <v>6.5</v>
      </c>
      <c r="H8" s="88"/>
      <c r="I8" s="171"/>
    </row>
    <row r="9" spans="2:9" ht="21.5">
      <c r="B9" s="86"/>
      <c r="C9" s="81" t="s">
        <v>8</v>
      </c>
      <c r="D9" s="81" t="s">
        <v>15</v>
      </c>
      <c r="E9" s="82" t="s">
        <v>16</v>
      </c>
      <c r="F9" s="83" t="s">
        <v>22</v>
      </c>
      <c r="G9" s="84">
        <v>1</v>
      </c>
      <c r="H9" s="88"/>
      <c r="I9" s="171"/>
    </row>
    <row r="10" spans="2:9" ht="21.5">
      <c r="B10" s="86"/>
      <c r="C10" s="81" t="s">
        <v>8</v>
      </c>
      <c r="D10" s="81" t="s">
        <v>18</v>
      </c>
      <c r="E10" s="82" t="s">
        <v>19</v>
      </c>
      <c r="F10" s="83" t="s">
        <v>22</v>
      </c>
      <c r="G10" s="84">
        <v>1</v>
      </c>
      <c r="H10" s="88"/>
      <c r="I10" s="171"/>
    </row>
    <row r="11" spans="2:9" ht="21.5">
      <c r="B11" s="87"/>
      <c r="C11" s="81" t="s">
        <v>8</v>
      </c>
      <c r="D11" s="81" t="s">
        <v>20</v>
      </c>
      <c r="E11" s="82" t="s">
        <v>21</v>
      </c>
      <c r="F11" s="83" t="s">
        <v>22</v>
      </c>
      <c r="G11" s="84">
        <v>1</v>
      </c>
      <c r="H11" s="88"/>
      <c r="I11" s="171"/>
    </row>
    <row r="12" spans="2:9">
      <c r="B12" s="86" t="s">
        <v>89</v>
      </c>
      <c r="C12" s="81" t="s">
        <v>25</v>
      </c>
      <c r="D12" s="81" t="s">
        <v>26</v>
      </c>
      <c r="E12" s="82" t="s">
        <v>27</v>
      </c>
      <c r="F12" s="83" t="s">
        <v>17</v>
      </c>
      <c r="G12" s="85">
        <v>140.5</v>
      </c>
      <c r="H12" s="88"/>
      <c r="I12" s="171"/>
    </row>
    <row r="13" spans="2:9">
      <c r="B13" s="86"/>
      <c r="C13" s="81" t="s">
        <v>25</v>
      </c>
      <c r="D13" s="81" t="s">
        <v>226</v>
      </c>
      <c r="E13" s="82" t="s">
        <v>227</v>
      </c>
      <c r="F13" s="83" t="s">
        <v>28</v>
      </c>
      <c r="G13" s="85">
        <v>72</v>
      </c>
      <c r="H13" s="88"/>
      <c r="I13" s="171"/>
    </row>
    <row r="14" spans="2:9">
      <c r="B14" s="86"/>
      <c r="C14" s="81" t="s">
        <v>25</v>
      </c>
      <c r="D14" s="81" t="s">
        <v>29</v>
      </c>
      <c r="E14" s="82" t="s">
        <v>30</v>
      </c>
      <c r="F14" s="83" t="s">
        <v>11</v>
      </c>
      <c r="G14" s="92">
        <v>262.12</v>
      </c>
      <c r="H14" s="88"/>
      <c r="I14" s="171"/>
    </row>
    <row r="15" spans="2:9" ht="21.5">
      <c r="B15" s="86"/>
      <c r="C15" s="81" t="s">
        <v>25</v>
      </c>
      <c r="D15" s="81" t="s">
        <v>264</v>
      </c>
      <c r="E15" s="82" t="s">
        <v>265</v>
      </c>
      <c r="F15" s="83" t="s">
        <v>14</v>
      </c>
      <c r="G15" s="92">
        <v>90.8</v>
      </c>
      <c r="H15" s="88"/>
      <c r="I15" s="171"/>
    </row>
    <row r="16" spans="2:9" ht="21.5">
      <c r="B16" s="80" t="s">
        <v>90</v>
      </c>
      <c r="C16" s="81" t="s">
        <v>34</v>
      </c>
      <c r="D16" s="81" t="s">
        <v>35</v>
      </c>
      <c r="E16" s="82" t="s">
        <v>36</v>
      </c>
      <c r="F16" s="83" t="s">
        <v>17</v>
      </c>
      <c r="G16" s="85">
        <v>300</v>
      </c>
      <c r="H16" s="88"/>
      <c r="I16" s="171"/>
    </row>
    <row r="17" spans="2:9">
      <c r="B17" s="86"/>
      <c r="C17" s="81" t="s">
        <v>34</v>
      </c>
      <c r="D17" s="81" t="s">
        <v>37</v>
      </c>
      <c r="E17" s="82" t="s">
        <v>38</v>
      </c>
      <c r="F17" s="83" t="s">
        <v>39</v>
      </c>
      <c r="G17" s="85">
        <v>10</v>
      </c>
      <c r="H17" s="88"/>
      <c r="I17" s="171"/>
    </row>
    <row r="18" spans="2:9">
      <c r="B18" s="86"/>
      <c r="C18" s="81" t="s">
        <v>34</v>
      </c>
      <c r="D18" s="81" t="s">
        <v>40</v>
      </c>
      <c r="E18" s="82" t="s">
        <v>41</v>
      </c>
      <c r="F18" s="83" t="s">
        <v>39</v>
      </c>
      <c r="G18" s="85">
        <v>10</v>
      </c>
      <c r="H18" s="88"/>
      <c r="I18" s="171"/>
    </row>
    <row r="19" spans="2:9">
      <c r="B19" s="86"/>
      <c r="C19" s="81" t="s">
        <v>34</v>
      </c>
      <c r="D19" s="81" t="s">
        <v>266</v>
      </c>
      <c r="E19" s="82" t="s">
        <v>267</v>
      </c>
      <c r="F19" s="83" t="s">
        <v>33</v>
      </c>
      <c r="G19" s="85">
        <v>35</v>
      </c>
      <c r="H19" s="88"/>
      <c r="I19" s="171"/>
    </row>
    <row r="20" spans="2:9">
      <c r="B20" s="86"/>
      <c r="C20" s="81" t="s">
        <v>34</v>
      </c>
      <c r="D20" s="81" t="s">
        <v>42</v>
      </c>
      <c r="E20" s="82" t="s">
        <v>43</v>
      </c>
      <c r="F20" s="83" t="s">
        <v>14</v>
      </c>
      <c r="G20" s="85">
        <v>8.5</v>
      </c>
      <c r="H20" s="88"/>
      <c r="I20" s="171"/>
    </row>
    <row r="21" spans="2:9">
      <c r="B21" s="86"/>
      <c r="C21" s="81" t="s">
        <v>34</v>
      </c>
      <c r="D21" s="81" t="s">
        <v>44</v>
      </c>
      <c r="E21" s="82" t="s">
        <v>45</v>
      </c>
      <c r="F21" s="83" t="s">
        <v>14</v>
      </c>
      <c r="G21" s="85">
        <v>2</v>
      </c>
      <c r="H21" s="88"/>
      <c r="I21" s="171"/>
    </row>
    <row r="22" spans="2:9">
      <c r="B22" s="86"/>
      <c r="C22" s="81" t="s">
        <v>34</v>
      </c>
      <c r="D22" s="81" t="s">
        <v>268</v>
      </c>
      <c r="E22" s="82" t="s">
        <v>269</v>
      </c>
      <c r="F22" s="83" t="s">
        <v>14</v>
      </c>
      <c r="G22" s="85">
        <v>42</v>
      </c>
      <c r="H22" s="88"/>
      <c r="I22" s="171"/>
    </row>
    <row r="23" spans="2:9">
      <c r="B23" s="86"/>
      <c r="C23" s="81" t="s">
        <v>34</v>
      </c>
      <c r="D23" s="81" t="s">
        <v>46</v>
      </c>
      <c r="E23" s="82" t="s">
        <v>47</v>
      </c>
      <c r="F23" s="83" t="s">
        <v>17</v>
      </c>
      <c r="G23" s="85">
        <v>300</v>
      </c>
      <c r="H23" s="88"/>
      <c r="I23" s="171"/>
    </row>
    <row r="24" spans="2:9">
      <c r="B24" s="86"/>
      <c r="C24" s="81" t="s">
        <v>34</v>
      </c>
      <c r="D24" s="81" t="s">
        <v>46</v>
      </c>
      <c r="E24" s="82" t="s">
        <v>47</v>
      </c>
      <c r="F24" s="83" t="s">
        <v>39</v>
      </c>
      <c r="G24" s="85">
        <v>10</v>
      </c>
      <c r="H24" s="88"/>
      <c r="I24" s="171"/>
    </row>
    <row r="25" spans="2:9">
      <c r="B25" s="86"/>
      <c r="C25" s="81" t="s">
        <v>34</v>
      </c>
      <c r="D25" s="81" t="s">
        <v>46</v>
      </c>
      <c r="E25" s="82" t="s">
        <v>47</v>
      </c>
      <c r="F25" s="83" t="s">
        <v>14</v>
      </c>
      <c r="G25" s="85">
        <v>6.5</v>
      </c>
      <c r="H25" s="88"/>
      <c r="I25" s="171"/>
    </row>
    <row r="26" spans="2:9">
      <c r="B26" s="80" t="s">
        <v>91</v>
      </c>
      <c r="C26" s="81" t="s">
        <v>48</v>
      </c>
      <c r="D26" s="81" t="s">
        <v>49</v>
      </c>
      <c r="E26" s="82" t="s">
        <v>50</v>
      </c>
      <c r="F26" s="83" t="s">
        <v>14</v>
      </c>
      <c r="G26" s="85">
        <v>55.75</v>
      </c>
      <c r="H26" s="88"/>
      <c r="I26" s="171"/>
    </row>
    <row r="27" spans="2:9">
      <c r="B27" s="86"/>
      <c r="C27" s="81" t="s">
        <v>48</v>
      </c>
      <c r="D27" s="81" t="s">
        <v>51</v>
      </c>
      <c r="E27" s="82" t="s">
        <v>52</v>
      </c>
      <c r="F27" s="83" t="s">
        <v>17</v>
      </c>
      <c r="G27" s="85">
        <v>371.68</v>
      </c>
      <c r="H27" s="88"/>
      <c r="I27" s="171"/>
    </row>
    <row r="28" spans="2:9">
      <c r="B28" s="86"/>
      <c r="C28" s="81" t="s">
        <v>48</v>
      </c>
      <c r="D28" s="81" t="s">
        <v>53</v>
      </c>
      <c r="E28" s="82" t="s">
        <v>54</v>
      </c>
      <c r="F28" s="83" t="s">
        <v>11</v>
      </c>
      <c r="G28" s="85">
        <v>4.5199999999999996</v>
      </c>
      <c r="H28" s="88"/>
      <c r="I28" s="171"/>
    </row>
    <row r="29" spans="2:9" ht="25" customHeight="1">
      <c r="B29" s="86"/>
      <c r="C29" s="81" t="s">
        <v>48</v>
      </c>
      <c r="D29" s="81" t="s">
        <v>270</v>
      </c>
      <c r="E29" s="82" t="s">
        <v>271</v>
      </c>
      <c r="F29" s="83" t="s">
        <v>14</v>
      </c>
      <c r="G29" s="85">
        <v>113</v>
      </c>
      <c r="H29" s="88"/>
      <c r="I29" s="171"/>
    </row>
    <row r="30" spans="2:9">
      <c r="B30" s="86"/>
      <c r="C30" s="81" t="s">
        <v>48</v>
      </c>
      <c r="D30" s="81" t="s">
        <v>272</v>
      </c>
      <c r="E30" s="82" t="s">
        <v>273</v>
      </c>
      <c r="F30" s="83" t="s">
        <v>17</v>
      </c>
      <c r="G30" s="85">
        <v>195.72</v>
      </c>
      <c r="H30" s="88"/>
      <c r="I30" s="171"/>
    </row>
    <row r="31" spans="2:9" ht="21.5">
      <c r="B31" s="86"/>
      <c r="C31" s="81" t="s">
        <v>48</v>
      </c>
      <c r="D31" s="81" t="s">
        <v>274</v>
      </c>
      <c r="E31" s="82" t="s">
        <v>275</v>
      </c>
      <c r="F31" s="83" t="s">
        <v>11</v>
      </c>
      <c r="G31" s="85">
        <v>12.25</v>
      </c>
      <c r="H31" s="88"/>
      <c r="I31" s="171"/>
    </row>
    <row r="32" spans="2:9">
      <c r="B32" s="86"/>
      <c r="C32" s="199" t="s">
        <v>48</v>
      </c>
      <c r="D32" s="199" t="s">
        <v>381</v>
      </c>
      <c r="E32" s="200" t="s">
        <v>379</v>
      </c>
      <c r="F32" s="201" t="s">
        <v>14</v>
      </c>
      <c r="G32" s="202">
        <v>6.01</v>
      </c>
      <c r="H32" s="88"/>
      <c r="I32" s="171"/>
    </row>
    <row r="33" spans="2:9">
      <c r="B33" s="86"/>
      <c r="C33" s="81" t="s">
        <v>48</v>
      </c>
      <c r="D33" s="81" t="s">
        <v>276</v>
      </c>
      <c r="E33" s="82" t="s">
        <v>277</v>
      </c>
      <c r="F33" s="83" t="s">
        <v>17</v>
      </c>
      <c r="G33" s="85">
        <v>56.45</v>
      </c>
      <c r="H33" s="88"/>
      <c r="I33" s="171"/>
    </row>
    <row r="34" spans="2:9">
      <c r="B34" s="86"/>
      <c r="C34" s="199" t="s">
        <v>376</v>
      </c>
      <c r="D34" s="199" t="s">
        <v>378</v>
      </c>
      <c r="E34" s="200" t="s">
        <v>377</v>
      </c>
      <c r="F34" s="201" t="s">
        <v>14</v>
      </c>
      <c r="G34" s="202">
        <v>2.46</v>
      </c>
      <c r="H34" s="88"/>
      <c r="I34" s="171"/>
    </row>
    <row r="35" spans="2:9">
      <c r="B35" s="86"/>
      <c r="C35" s="81" t="s">
        <v>48</v>
      </c>
      <c r="D35" s="81" t="s">
        <v>55</v>
      </c>
      <c r="E35" s="82" t="s">
        <v>233</v>
      </c>
      <c r="F35" s="83" t="s">
        <v>39</v>
      </c>
      <c r="G35" s="85">
        <v>6</v>
      </c>
      <c r="H35" s="88"/>
      <c r="I35" s="171"/>
    </row>
    <row r="36" spans="2:9" ht="21.5">
      <c r="B36" s="86"/>
      <c r="C36" s="81" t="s">
        <v>48</v>
      </c>
      <c r="D36" s="81" t="s">
        <v>55</v>
      </c>
      <c r="E36" s="82" t="s">
        <v>234</v>
      </c>
      <c r="F36" s="83" t="s">
        <v>39</v>
      </c>
      <c r="G36" s="85">
        <v>36</v>
      </c>
      <c r="H36" s="88"/>
      <c r="I36" s="171"/>
    </row>
    <row r="37" spans="2:9" ht="21.5">
      <c r="B37" s="86"/>
      <c r="C37" s="81" t="s">
        <v>48</v>
      </c>
      <c r="D37" s="81" t="s">
        <v>55</v>
      </c>
      <c r="E37" s="82" t="s">
        <v>235</v>
      </c>
      <c r="F37" s="83" t="s">
        <v>39</v>
      </c>
      <c r="G37" s="85">
        <v>30</v>
      </c>
      <c r="H37" s="88"/>
      <c r="I37" s="171"/>
    </row>
    <row r="38" spans="2:9">
      <c r="B38" s="86"/>
      <c r="C38" s="81" t="s">
        <v>48</v>
      </c>
      <c r="D38" s="81" t="s">
        <v>278</v>
      </c>
      <c r="E38" s="82" t="s">
        <v>279</v>
      </c>
      <c r="F38" s="83" t="s">
        <v>17</v>
      </c>
      <c r="G38" s="85">
        <v>0.56999999999999995</v>
      </c>
      <c r="H38" s="88"/>
      <c r="I38" s="171"/>
    </row>
    <row r="39" spans="2:9">
      <c r="B39" s="86"/>
      <c r="C39" s="81" t="s">
        <v>48</v>
      </c>
      <c r="D39" s="81" t="s">
        <v>57</v>
      </c>
      <c r="E39" s="82" t="s">
        <v>58</v>
      </c>
      <c r="F39" s="83" t="s">
        <v>14</v>
      </c>
      <c r="G39" s="85">
        <v>618.20000000000005</v>
      </c>
      <c r="H39" s="88"/>
      <c r="I39" s="171"/>
    </row>
    <row r="40" spans="2:9" ht="21.5">
      <c r="B40" s="80" t="s">
        <v>92</v>
      </c>
      <c r="C40" s="81" t="s">
        <v>59</v>
      </c>
      <c r="D40" s="81" t="s">
        <v>60</v>
      </c>
      <c r="E40" s="82" t="s">
        <v>61</v>
      </c>
      <c r="F40" s="83" t="s">
        <v>14</v>
      </c>
      <c r="G40" s="85">
        <v>35.130000000000003</v>
      </c>
      <c r="H40" s="88"/>
      <c r="I40" s="171"/>
    </row>
    <row r="41" spans="2:9">
      <c r="B41" s="86"/>
      <c r="C41" s="81" t="s">
        <v>59</v>
      </c>
      <c r="D41" s="81" t="s">
        <v>62</v>
      </c>
      <c r="E41" s="82" t="s">
        <v>63</v>
      </c>
      <c r="F41" s="83" t="s">
        <v>17</v>
      </c>
      <c r="G41" s="85">
        <v>140.5</v>
      </c>
      <c r="H41" s="88"/>
      <c r="I41" s="171"/>
    </row>
    <row r="42" spans="2:9" ht="21.5">
      <c r="B42" s="80" t="s">
        <v>93</v>
      </c>
      <c r="C42" s="81" t="s">
        <v>64</v>
      </c>
      <c r="D42" s="81" t="s">
        <v>65</v>
      </c>
      <c r="E42" s="82" t="s">
        <v>66</v>
      </c>
      <c r="F42" s="83" t="s">
        <v>33</v>
      </c>
      <c r="G42" s="85">
        <v>101.57</v>
      </c>
      <c r="H42" s="88"/>
      <c r="I42" s="171"/>
    </row>
    <row r="43" spans="2:9">
      <c r="B43" s="80" t="s">
        <v>109</v>
      </c>
      <c r="C43" s="81" t="s">
        <v>106</v>
      </c>
      <c r="D43" s="81" t="s">
        <v>110</v>
      </c>
      <c r="E43" s="82" t="s">
        <v>108</v>
      </c>
      <c r="F43" s="83" t="s">
        <v>111</v>
      </c>
      <c r="G43" s="85">
        <v>50</v>
      </c>
      <c r="H43" s="94"/>
      <c r="I43" s="171"/>
    </row>
    <row r="44" spans="2:9" ht="21.5">
      <c r="B44" s="80" t="s">
        <v>280</v>
      </c>
      <c r="C44" s="114" t="s">
        <v>67</v>
      </c>
      <c r="D44" s="81" t="s">
        <v>281</v>
      </c>
      <c r="E44" s="82" t="s">
        <v>282</v>
      </c>
      <c r="F44" s="83" t="s">
        <v>33</v>
      </c>
      <c r="G44" s="85">
        <v>637.46</v>
      </c>
      <c r="H44" s="88"/>
      <c r="I44" s="171"/>
    </row>
    <row r="45" spans="2:9">
      <c r="B45" s="80"/>
      <c r="C45" s="114" t="s">
        <v>67</v>
      </c>
      <c r="D45" s="81" t="s">
        <v>283</v>
      </c>
      <c r="E45" s="82" t="s">
        <v>282</v>
      </c>
      <c r="F45" s="83" t="s">
        <v>33</v>
      </c>
      <c r="G45" s="85">
        <v>36.659999999999997</v>
      </c>
      <c r="H45" s="88"/>
      <c r="I45" s="171"/>
    </row>
    <row r="46" spans="2:9">
      <c r="B46" s="86"/>
      <c r="C46" s="114" t="s">
        <v>67</v>
      </c>
      <c r="D46" s="81" t="s">
        <v>68</v>
      </c>
      <c r="E46" s="82" t="s">
        <v>69</v>
      </c>
      <c r="F46" s="83" t="s">
        <v>39</v>
      </c>
      <c r="G46" s="85">
        <v>4944</v>
      </c>
      <c r="H46" s="88"/>
      <c r="I46" s="171"/>
    </row>
    <row r="47" spans="2:9">
      <c r="B47" s="87"/>
      <c r="C47" s="114" t="s">
        <v>67</v>
      </c>
      <c r="D47" s="81" t="s">
        <v>211</v>
      </c>
      <c r="E47" s="82" t="s">
        <v>212</v>
      </c>
      <c r="F47" s="83" t="s">
        <v>17</v>
      </c>
      <c r="G47" s="85">
        <v>371.68</v>
      </c>
      <c r="H47" s="88"/>
      <c r="I47" s="171"/>
    </row>
    <row r="48" spans="2:9">
      <c r="B48" s="80" t="s">
        <v>284</v>
      </c>
      <c r="C48" s="81" t="s">
        <v>77</v>
      </c>
      <c r="D48" s="81" t="s">
        <v>78</v>
      </c>
      <c r="E48" s="82" t="s">
        <v>79</v>
      </c>
      <c r="F48" s="83" t="s">
        <v>14</v>
      </c>
      <c r="G48" s="85">
        <v>8.6999999999999993</v>
      </c>
      <c r="H48" s="88"/>
      <c r="I48" s="171"/>
    </row>
    <row r="49" spans="1:9">
      <c r="B49" s="86"/>
      <c r="C49" s="81" t="s">
        <v>77</v>
      </c>
      <c r="D49" s="81" t="s">
        <v>80</v>
      </c>
      <c r="E49" s="82" t="s">
        <v>81</v>
      </c>
      <c r="F49" s="83" t="s">
        <v>17</v>
      </c>
      <c r="G49" s="85">
        <v>36.520000000000003</v>
      </c>
      <c r="H49" s="88"/>
      <c r="I49" s="171"/>
    </row>
    <row r="50" spans="1:9">
      <c r="B50" s="86"/>
      <c r="C50" s="81" t="s">
        <v>77</v>
      </c>
      <c r="D50" s="81" t="s">
        <v>82</v>
      </c>
      <c r="E50" s="82" t="s">
        <v>83</v>
      </c>
      <c r="F50" s="83" t="s">
        <v>11</v>
      </c>
      <c r="G50" s="85">
        <v>0.31</v>
      </c>
      <c r="H50" s="88"/>
      <c r="I50" s="171"/>
    </row>
    <row r="51" spans="1:9">
      <c r="B51" s="87"/>
      <c r="C51" s="81" t="s">
        <v>77</v>
      </c>
      <c r="D51" s="81" t="s">
        <v>84</v>
      </c>
      <c r="E51" s="82" t="s">
        <v>85</v>
      </c>
      <c r="F51" s="83" t="s">
        <v>14</v>
      </c>
      <c r="G51" s="85">
        <v>8.5</v>
      </c>
      <c r="H51" s="88"/>
      <c r="I51" s="171"/>
    </row>
    <row r="54" spans="1:9">
      <c r="A54" s="221"/>
      <c r="B54" s="221"/>
      <c r="C54" s="221"/>
      <c r="D54" s="221"/>
      <c r="E54" s="221"/>
      <c r="F54" s="221"/>
    </row>
    <row r="55" spans="1:9">
      <c r="A55" s="221"/>
      <c r="B55" s="221"/>
      <c r="C55" s="221"/>
      <c r="D55" s="221"/>
      <c r="E55" s="221"/>
      <c r="F55" s="221"/>
    </row>
    <row r="56" spans="1:9">
      <c r="A56" s="221"/>
      <c r="B56" s="67" t="s">
        <v>240</v>
      </c>
      <c r="C56" s="221"/>
      <c r="D56" s="221"/>
      <c r="E56" s="233" t="s">
        <v>237</v>
      </c>
      <c r="F56" s="233"/>
    </row>
    <row r="57" spans="1:9">
      <c r="A57" s="221"/>
      <c r="B57" s="221"/>
      <c r="C57" s="221"/>
      <c r="D57" s="221"/>
      <c r="E57" s="233" t="s">
        <v>238</v>
      </c>
      <c r="F57" s="233"/>
    </row>
    <row r="58" spans="1:9">
      <c r="A58" s="221"/>
      <c r="B58" s="221"/>
      <c r="C58" s="221"/>
      <c r="D58" s="221"/>
      <c r="E58" s="233" t="s">
        <v>239</v>
      </c>
      <c r="F58" s="233"/>
    </row>
    <row r="59" spans="1:9">
      <c r="A59" s="221"/>
      <c r="B59" s="221"/>
      <c r="C59" s="221"/>
      <c r="D59" s="221"/>
      <c r="E59" s="221"/>
      <c r="F59" s="221"/>
    </row>
  </sheetData>
  <sheetProtection algorithmName="SHA-512" hashValue="iCVtFUG1ho90JjKi3VJi0+sfniCDbaUpYj3lg8X6tE9GRnOLqXikjY23H2+UqvB0kfpfXaT6Pv21JLHDCb48EA==" saltValue="vHsoE6FGrX+LhEKiSrn3ZQ==" spinCount="100000" sheet="1" objects="1" scenarios="1"/>
  <mergeCells count="4">
    <mergeCell ref="C6:D6"/>
    <mergeCell ref="E56:F56"/>
    <mergeCell ref="E57:F57"/>
    <mergeCell ref="E58:F58"/>
  </mergeCells>
  <pageMargins left="0.25" right="0.25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2"/>
  <sheetViews>
    <sheetView zoomScaleNormal="100" workbookViewId="0">
      <selection activeCell="M43" sqref="M43"/>
    </sheetView>
  </sheetViews>
  <sheetFormatPr defaultColWidth="8.7265625" defaultRowHeight="14.5"/>
  <cols>
    <col min="1" max="1" width="2.26953125" style="70" customWidth="1"/>
    <col min="2" max="2" width="30.7265625" style="70" customWidth="1"/>
    <col min="3" max="3" width="7.81640625" style="70" bestFit="1" customWidth="1"/>
    <col min="4" max="4" width="9.54296875" style="70" customWidth="1"/>
    <col min="5" max="5" width="50.7265625" style="70" customWidth="1"/>
    <col min="6" max="6" width="6" style="70" bestFit="1" customWidth="1"/>
    <col min="7" max="7" width="8.81640625" style="70" bestFit="1" customWidth="1"/>
    <col min="8" max="9" width="17.26953125" style="70" customWidth="1"/>
    <col min="10" max="10" width="11.81640625" style="70" customWidth="1"/>
    <col min="11" max="16384" width="8.7265625" style="70"/>
  </cols>
  <sheetData>
    <row r="1" spans="2:13">
      <c r="I1" s="182" t="s">
        <v>363</v>
      </c>
    </row>
    <row r="2" spans="2:13">
      <c r="I2" s="182" t="s">
        <v>356</v>
      </c>
    </row>
    <row r="3" spans="2:13">
      <c r="B3" s="186" t="s">
        <v>364</v>
      </c>
    </row>
    <row r="4" spans="2:13">
      <c r="B4" s="186" t="s">
        <v>360</v>
      </c>
    </row>
    <row r="6" spans="2:13">
      <c r="B6" s="195" t="s">
        <v>0</v>
      </c>
      <c r="C6" s="232" t="s">
        <v>1</v>
      </c>
      <c r="D6" s="232"/>
      <c r="E6" s="195" t="s">
        <v>2</v>
      </c>
      <c r="F6" s="195" t="s">
        <v>3</v>
      </c>
      <c r="G6" s="195" t="s">
        <v>4</v>
      </c>
      <c r="H6" s="78" t="s">
        <v>5</v>
      </c>
      <c r="I6" s="78" t="s">
        <v>6</v>
      </c>
    </row>
    <row r="7" spans="2:13" ht="21.5">
      <c r="B7" s="80" t="s">
        <v>7</v>
      </c>
      <c r="C7" s="81" t="s">
        <v>8</v>
      </c>
      <c r="D7" s="81" t="s">
        <v>9</v>
      </c>
      <c r="E7" s="82" t="s">
        <v>10</v>
      </c>
      <c r="F7" s="83" t="s">
        <v>11</v>
      </c>
      <c r="G7" s="172">
        <v>257.08</v>
      </c>
      <c r="H7" s="169">
        <f>'1.časť_B.2_Súpis prác_D1-332 '!I7</f>
        <v>0</v>
      </c>
      <c r="I7" s="169">
        <f>G7*H7</f>
        <v>0</v>
      </c>
    </row>
    <row r="8" spans="2:13">
      <c r="B8" s="86"/>
      <c r="C8" s="81" t="s">
        <v>8</v>
      </c>
      <c r="D8" s="81" t="s">
        <v>12</v>
      </c>
      <c r="E8" s="82" t="s">
        <v>13</v>
      </c>
      <c r="F8" s="83" t="s">
        <v>14</v>
      </c>
      <c r="G8" s="172">
        <v>6.5</v>
      </c>
      <c r="H8" s="169">
        <f>'1.časť_B.2_Súpis prác_D1-332 '!I8</f>
        <v>0</v>
      </c>
      <c r="I8" s="169">
        <f>G8*H8</f>
        <v>0</v>
      </c>
    </row>
    <row r="9" spans="2:13" ht="21.5">
      <c r="B9" s="86"/>
      <c r="C9" s="81" t="s">
        <v>8</v>
      </c>
      <c r="D9" s="81" t="s">
        <v>15</v>
      </c>
      <c r="E9" s="82" t="s">
        <v>16</v>
      </c>
      <c r="F9" s="83" t="s">
        <v>22</v>
      </c>
      <c r="G9" s="172">
        <v>1</v>
      </c>
      <c r="H9" s="169">
        <f>'1.časť_B.2_Súpis prác_D1-332 '!I9</f>
        <v>0</v>
      </c>
      <c r="I9" s="169">
        <f>G9*H9</f>
        <v>0</v>
      </c>
    </row>
    <row r="10" spans="2:13" ht="21.5">
      <c r="B10" s="86"/>
      <c r="C10" s="81" t="s">
        <v>8</v>
      </c>
      <c r="D10" s="81" t="s">
        <v>18</v>
      </c>
      <c r="E10" s="82" t="s">
        <v>19</v>
      </c>
      <c r="F10" s="83" t="s">
        <v>22</v>
      </c>
      <c r="G10" s="172">
        <v>1</v>
      </c>
      <c r="H10" s="169">
        <f>'1.časť_B.2_Súpis prác_D1-332 '!I10</f>
        <v>0</v>
      </c>
      <c r="I10" s="169">
        <f>G10*H10</f>
        <v>0</v>
      </c>
    </row>
    <row r="11" spans="2:13" ht="21.5">
      <c r="B11" s="87"/>
      <c r="C11" s="81" t="s">
        <v>8</v>
      </c>
      <c r="D11" s="81" t="s">
        <v>20</v>
      </c>
      <c r="E11" s="82" t="s">
        <v>21</v>
      </c>
      <c r="F11" s="83" t="s">
        <v>22</v>
      </c>
      <c r="G11" s="172">
        <v>1</v>
      </c>
      <c r="H11" s="169">
        <f>'1.časť_B.2_Súpis prác_D1-332 '!I11</f>
        <v>0</v>
      </c>
      <c r="I11" s="169">
        <f>G11*H11</f>
        <v>0</v>
      </c>
    </row>
    <row r="12" spans="2:13">
      <c r="B12" s="234" t="s">
        <v>23</v>
      </c>
      <c r="C12" s="235"/>
      <c r="D12" s="235"/>
      <c r="E12" s="235"/>
      <c r="F12" s="235"/>
      <c r="G12" s="236"/>
      <c r="H12" s="237"/>
      <c r="I12" s="95">
        <f>SUM(I7:I11)</f>
        <v>0</v>
      </c>
      <c r="J12" s="79"/>
    </row>
    <row r="13" spans="2:13" ht="21.5">
      <c r="B13" s="86" t="s">
        <v>285</v>
      </c>
      <c r="C13" s="81" t="s">
        <v>25</v>
      </c>
      <c r="D13" s="81" t="s">
        <v>26</v>
      </c>
      <c r="E13" s="82" t="s">
        <v>27</v>
      </c>
      <c r="F13" s="83" t="s">
        <v>17</v>
      </c>
      <c r="G13" s="169">
        <v>140.5</v>
      </c>
      <c r="H13" s="169">
        <f>'1.časť_B.2_Súpis prác_D1-332 '!I12</f>
        <v>0</v>
      </c>
      <c r="I13" s="169">
        <f t="shared" ref="I13:I52" si="0">G13*H13</f>
        <v>0</v>
      </c>
      <c r="K13" s="167"/>
      <c r="L13" s="167"/>
      <c r="M13" s="167"/>
    </row>
    <row r="14" spans="2:13">
      <c r="B14" s="86"/>
      <c r="C14" s="81" t="s">
        <v>25</v>
      </c>
      <c r="D14" s="81" t="s">
        <v>226</v>
      </c>
      <c r="E14" s="82" t="s">
        <v>227</v>
      </c>
      <c r="F14" s="83" t="s">
        <v>28</v>
      </c>
      <c r="G14" s="169">
        <v>72</v>
      </c>
      <c r="H14" s="169">
        <f>'1.časť_B.2_Súpis prác_D1-332 '!I13</f>
        <v>0</v>
      </c>
      <c r="I14" s="169">
        <f t="shared" si="0"/>
        <v>0</v>
      </c>
      <c r="K14" s="167"/>
      <c r="L14" s="167"/>
      <c r="M14" s="167"/>
    </row>
    <row r="15" spans="2:13">
      <c r="B15" s="86"/>
      <c r="C15" s="81" t="s">
        <v>25</v>
      </c>
      <c r="D15" s="81" t="s">
        <v>29</v>
      </c>
      <c r="E15" s="82" t="s">
        <v>30</v>
      </c>
      <c r="F15" s="83" t="s">
        <v>11</v>
      </c>
      <c r="G15" s="170">
        <v>262.12</v>
      </c>
      <c r="H15" s="169">
        <f>'1.časť_B.2_Súpis prác_D1-332 '!I14</f>
        <v>0</v>
      </c>
      <c r="I15" s="169">
        <f t="shared" si="0"/>
        <v>0</v>
      </c>
      <c r="K15" s="167"/>
      <c r="L15" s="167"/>
      <c r="M15" s="167"/>
    </row>
    <row r="16" spans="2:13" ht="21.5">
      <c r="B16" s="86"/>
      <c r="C16" s="81" t="s">
        <v>25</v>
      </c>
      <c r="D16" s="81" t="s">
        <v>264</v>
      </c>
      <c r="E16" s="82" t="s">
        <v>265</v>
      </c>
      <c r="F16" s="83" t="s">
        <v>14</v>
      </c>
      <c r="G16" s="170">
        <v>90.8</v>
      </c>
      <c r="H16" s="169">
        <f>'1.časť_B.2_Súpis prác_D1-332 '!I15</f>
        <v>0</v>
      </c>
      <c r="I16" s="169">
        <f t="shared" si="0"/>
        <v>0</v>
      </c>
      <c r="K16" s="167"/>
      <c r="L16" s="167"/>
      <c r="M16" s="167"/>
    </row>
    <row r="17" spans="2:13">
      <c r="B17" s="86"/>
      <c r="C17" s="81" t="s">
        <v>34</v>
      </c>
      <c r="D17" s="81" t="s">
        <v>35</v>
      </c>
      <c r="E17" s="82" t="s">
        <v>36</v>
      </c>
      <c r="F17" s="83" t="s">
        <v>17</v>
      </c>
      <c r="G17" s="169">
        <v>300</v>
      </c>
      <c r="H17" s="169">
        <f>'1.časť_B.2_Súpis prác_D1-332 '!I16</f>
        <v>0</v>
      </c>
      <c r="I17" s="169">
        <f t="shared" si="0"/>
        <v>0</v>
      </c>
      <c r="K17" s="167"/>
      <c r="L17" s="167"/>
      <c r="M17" s="167"/>
    </row>
    <row r="18" spans="2:13">
      <c r="B18" s="86"/>
      <c r="C18" s="81" t="s">
        <v>34</v>
      </c>
      <c r="D18" s="81" t="s">
        <v>37</v>
      </c>
      <c r="E18" s="82" t="s">
        <v>38</v>
      </c>
      <c r="F18" s="83" t="s">
        <v>39</v>
      </c>
      <c r="G18" s="169">
        <v>10</v>
      </c>
      <c r="H18" s="169">
        <f>'1.časť_B.2_Súpis prác_D1-332 '!I17</f>
        <v>0</v>
      </c>
      <c r="I18" s="169">
        <f t="shared" si="0"/>
        <v>0</v>
      </c>
      <c r="K18" s="167"/>
      <c r="L18" s="167"/>
      <c r="M18" s="167"/>
    </row>
    <row r="19" spans="2:13">
      <c r="B19" s="86"/>
      <c r="C19" s="81" t="s">
        <v>34</v>
      </c>
      <c r="D19" s="81" t="s">
        <v>40</v>
      </c>
      <c r="E19" s="82" t="s">
        <v>41</v>
      </c>
      <c r="F19" s="83" t="s">
        <v>39</v>
      </c>
      <c r="G19" s="169">
        <v>10</v>
      </c>
      <c r="H19" s="169">
        <f>'1.časť_B.2_Súpis prác_D1-332 '!I18</f>
        <v>0</v>
      </c>
      <c r="I19" s="169">
        <f t="shared" si="0"/>
        <v>0</v>
      </c>
      <c r="K19" s="167"/>
      <c r="L19" s="167"/>
      <c r="M19" s="167"/>
    </row>
    <row r="20" spans="2:13">
      <c r="B20" s="86"/>
      <c r="C20" s="81" t="s">
        <v>34</v>
      </c>
      <c r="D20" s="81" t="s">
        <v>266</v>
      </c>
      <c r="E20" s="82" t="s">
        <v>267</v>
      </c>
      <c r="F20" s="83" t="s">
        <v>33</v>
      </c>
      <c r="G20" s="169">
        <v>35</v>
      </c>
      <c r="H20" s="169">
        <f>'1.časť_B.2_Súpis prác_D1-332 '!I19</f>
        <v>0</v>
      </c>
      <c r="I20" s="169">
        <f t="shared" si="0"/>
        <v>0</v>
      </c>
      <c r="K20" s="167"/>
      <c r="L20" s="167"/>
      <c r="M20" s="167"/>
    </row>
    <row r="21" spans="2:13">
      <c r="B21" s="86"/>
      <c r="C21" s="81" t="s">
        <v>34</v>
      </c>
      <c r="D21" s="81" t="s">
        <v>42</v>
      </c>
      <c r="E21" s="82" t="s">
        <v>43</v>
      </c>
      <c r="F21" s="83" t="s">
        <v>14</v>
      </c>
      <c r="G21" s="169">
        <v>8.5</v>
      </c>
      <c r="H21" s="169">
        <f>'1.časť_B.2_Súpis prác_D1-332 '!I20</f>
        <v>0</v>
      </c>
      <c r="I21" s="169">
        <f t="shared" si="0"/>
        <v>0</v>
      </c>
      <c r="K21" s="167"/>
      <c r="L21" s="167"/>
      <c r="M21" s="167"/>
    </row>
    <row r="22" spans="2:13">
      <c r="B22" s="86"/>
      <c r="C22" s="81" t="s">
        <v>34</v>
      </c>
      <c r="D22" s="81" t="s">
        <v>44</v>
      </c>
      <c r="E22" s="82" t="s">
        <v>45</v>
      </c>
      <c r="F22" s="83" t="s">
        <v>14</v>
      </c>
      <c r="G22" s="169">
        <v>2</v>
      </c>
      <c r="H22" s="169">
        <f>'1.časť_B.2_Súpis prác_D1-332 '!I21</f>
        <v>0</v>
      </c>
      <c r="I22" s="169">
        <f>G22*H22</f>
        <v>0</v>
      </c>
      <c r="K22" s="167"/>
      <c r="L22" s="167"/>
      <c r="M22" s="167"/>
    </row>
    <row r="23" spans="2:13">
      <c r="B23" s="86"/>
      <c r="C23" s="81" t="s">
        <v>34</v>
      </c>
      <c r="D23" s="81" t="s">
        <v>268</v>
      </c>
      <c r="E23" s="82" t="s">
        <v>269</v>
      </c>
      <c r="F23" s="83" t="s">
        <v>14</v>
      </c>
      <c r="G23" s="169">
        <v>42</v>
      </c>
      <c r="H23" s="169">
        <f>'1.časť_B.2_Súpis prác_D1-332 '!I22</f>
        <v>0</v>
      </c>
      <c r="I23" s="169">
        <f>G23*H23</f>
        <v>0</v>
      </c>
      <c r="K23" s="167"/>
      <c r="L23" s="167"/>
      <c r="M23" s="167"/>
    </row>
    <row r="24" spans="2:13">
      <c r="B24" s="86"/>
      <c r="C24" s="81" t="s">
        <v>34</v>
      </c>
      <c r="D24" s="81" t="s">
        <v>46</v>
      </c>
      <c r="E24" s="82" t="s">
        <v>47</v>
      </c>
      <c r="F24" s="83" t="s">
        <v>17</v>
      </c>
      <c r="G24" s="169">
        <v>300</v>
      </c>
      <c r="H24" s="169">
        <f>'1.časť_B.2_Súpis prác_D1-332 '!I23</f>
        <v>0</v>
      </c>
      <c r="I24" s="169">
        <f t="shared" si="0"/>
        <v>0</v>
      </c>
      <c r="K24" s="167"/>
      <c r="L24" s="167"/>
      <c r="M24" s="167"/>
    </row>
    <row r="25" spans="2:13">
      <c r="B25" s="86"/>
      <c r="C25" s="81" t="s">
        <v>34</v>
      </c>
      <c r="D25" s="81" t="s">
        <v>46</v>
      </c>
      <c r="E25" s="82" t="s">
        <v>47</v>
      </c>
      <c r="F25" s="83" t="s">
        <v>39</v>
      </c>
      <c r="G25" s="169">
        <v>10</v>
      </c>
      <c r="H25" s="169">
        <f>'1.časť_B.2_Súpis prác_D1-332 '!I24</f>
        <v>0</v>
      </c>
      <c r="I25" s="169">
        <f t="shared" si="0"/>
        <v>0</v>
      </c>
      <c r="K25" s="167"/>
      <c r="L25" s="167"/>
      <c r="M25" s="167"/>
    </row>
    <row r="26" spans="2:13">
      <c r="B26" s="86"/>
      <c r="C26" s="81" t="s">
        <v>34</v>
      </c>
      <c r="D26" s="81" t="s">
        <v>46</v>
      </c>
      <c r="E26" s="82" t="s">
        <v>47</v>
      </c>
      <c r="F26" s="83" t="s">
        <v>14</v>
      </c>
      <c r="G26" s="169">
        <v>6.5</v>
      </c>
      <c r="H26" s="169">
        <f>'1.časť_B.2_Súpis prác_D1-332 '!I25</f>
        <v>0</v>
      </c>
      <c r="I26" s="169">
        <f t="shared" si="0"/>
        <v>0</v>
      </c>
      <c r="K26" s="167"/>
      <c r="L26" s="167"/>
      <c r="M26" s="167"/>
    </row>
    <row r="27" spans="2:13">
      <c r="B27" s="86"/>
      <c r="C27" s="81" t="s">
        <v>48</v>
      </c>
      <c r="D27" s="81" t="s">
        <v>49</v>
      </c>
      <c r="E27" s="82" t="s">
        <v>50</v>
      </c>
      <c r="F27" s="83" t="s">
        <v>14</v>
      </c>
      <c r="G27" s="169">
        <v>55.75</v>
      </c>
      <c r="H27" s="169">
        <f>'1.časť_B.2_Súpis prác_D1-332 '!I26</f>
        <v>0</v>
      </c>
      <c r="I27" s="169">
        <f t="shared" si="0"/>
        <v>0</v>
      </c>
      <c r="K27" s="168"/>
      <c r="L27" s="168"/>
      <c r="M27" s="168"/>
    </row>
    <row r="28" spans="2:13">
      <c r="B28" s="86"/>
      <c r="C28" s="81" t="s">
        <v>48</v>
      </c>
      <c r="D28" s="81" t="s">
        <v>51</v>
      </c>
      <c r="E28" s="82" t="s">
        <v>52</v>
      </c>
      <c r="F28" s="83" t="s">
        <v>17</v>
      </c>
      <c r="G28" s="169">
        <v>371.68</v>
      </c>
      <c r="H28" s="169">
        <f>'1.časť_B.2_Súpis prác_D1-332 '!I27</f>
        <v>0</v>
      </c>
      <c r="I28" s="169">
        <f t="shared" si="0"/>
        <v>0</v>
      </c>
      <c r="K28" s="168"/>
      <c r="L28" s="168"/>
      <c r="M28" s="168"/>
    </row>
    <row r="29" spans="2:13">
      <c r="B29" s="86"/>
      <c r="C29" s="81" t="s">
        <v>48</v>
      </c>
      <c r="D29" s="81" t="s">
        <v>53</v>
      </c>
      <c r="E29" s="82" t="s">
        <v>54</v>
      </c>
      <c r="F29" s="83" t="s">
        <v>11</v>
      </c>
      <c r="G29" s="169">
        <v>4.5199999999999996</v>
      </c>
      <c r="H29" s="169">
        <f>'1.časť_B.2_Súpis prác_D1-332 '!I28</f>
        <v>0</v>
      </c>
      <c r="I29" s="169">
        <f t="shared" si="0"/>
        <v>0</v>
      </c>
      <c r="K29" s="168"/>
      <c r="L29" s="168"/>
      <c r="M29" s="168"/>
    </row>
    <row r="30" spans="2:13">
      <c r="B30" s="86"/>
      <c r="C30" s="81" t="s">
        <v>48</v>
      </c>
      <c r="D30" s="81" t="s">
        <v>270</v>
      </c>
      <c r="E30" s="82" t="s">
        <v>271</v>
      </c>
      <c r="F30" s="83" t="s">
        <v>14</v>
      </c>
      <c r="G30" s="169">
        <v>113</v>
      </c>
      <c r="H30" s="169">
        <f>'1.časť_B.2_Súpis prác_D1-332 '!I29</f>
        <v>0</v>
      </c>
      <c r="I30" s="169">
        <f t="shared" si="0"/>
        <v>0</v>
      </c>
      <c r="K30" s="168"/>
      <c r="L30" s="168"/>
      <c r="M30" s="168"/>
    </row>
    <row r="31" spans="2:13">
      <c r="B31" s="86"/>
      <c r="C31" s="81" t="s">
        <v>48</v>
      </c>
      <c r="D31" s="81" t="s">
        <v>272</v>
      </c>
      <c r="E31" s="82" t="s">
        <v>273</v>
      </c>
      <c r="F31" s="83" t="s">
        <v>17</v>
      </c>
      <c r="G31" s="169">
        <v>195.72</v>
      </c>
      <c r="H31" s="169">
        <f>'1.časť_B.2_Súpis prác_D1-332 '!I30</f>
        <v>0</v>
      </c>
      <c r="I31" s="169">
        <f t="shared" si="0"/>
        <v>0</v>
      </c>
      <c r="K31" s="168"/>
      <c r="L31" s="168"/>
      <c r="M31" s="168"/>
    </row>
    <row r="32" spans="2:13" ht="21.5">
      <c r="B32" s="86"/>
      <c r="C32" s="81" t="s">
        <v>48</v>
      </c>
      <c r="D32" s="81" t="s">
        <v>274</v>
      </c>
      <c r="E32" s="82" t="s">
        <v>275</v>
      </c>
      <c r="F32" s="83" t="s">
        <v>11</v>
      </c>
      <c r="G32" s="169">
        <v>12.25</v>
      </c>
      <c r="H32" s="169">
        <f>'1.časť_B.2_Súpis prác_D1-332 '!I31</f>
        <v>0</v>
      </c>
      <c r="I32" s="169">
        <f t="shared" si="0"/>
        <v>0</v>
      </c>
      <c r="K32" s="168"/>
      <c r="L32" s="168"/>
      <c r="M32" s="168"/>
    </row>
    <row r="33" spans="2:13">
      <c r="B33" s="86"/>
      <c r="C33" s="199" t="s">
        <v>48</v>
      </c>
      <c r="D33" s="199" t="s">
        <v>381</v>
      </c>
      <c r="E33" s="200" t="s">
        <v>379</v>
      </c>
      <c r="F33" s="201" t="s">
        <v>14</v>
      </c>
      <c r="G33" s="202">
        <v>6.01</v>
      </c>
      <c r="H33" s="203">
        <f>'1.časť_B.2_Súpis prác_D1-332 '!I32</f>
        <v>0</v>
      </c>
      <c r="I33" s="203">
        <f t="shared" ref="I33" si="1">G33*H33</f>
        <v>0</v>
      </c>
      <c r="K33" s="168"/>
      <c r="L33" s="168"/>
      <c r="M33" s="168"/>
    </row>
    <row r="34" spans="2:13">
      <c r="B34" s="86"/>
      <c r="C34" s="81" t="s">
        <v>48</v>
      </c>
      <c r="D34" s="81" t="s">
        <v>276</v>
      </c>
      <c r="E34" s="82" t="s">
        <v>277</v>
      </c>
      <c r="F34" s="83" t="s">
        <v>17</v>
      </c>
      <c r="G34" s="169">
        <v>56.45</v>
      </c>
      <c r="H34" s="169">
        <f>'1.časť_B.2_Súpis prác_D1-332 '!I33</f>
        <v>0</v>
      </c>
      <c r="I34" s="169">
        <f t="shared" si="0"/>
        <v>0</v>
      </c>
      <c r="K34" s="168"/>
      <c r="L34" s="168"/>
      <c r="M34" s="168"/>
    </row>
    <row r="35" spans="2:13">
      <c r="B35" s="86"/>
      <c r="C35" s="199" t="s">
        <v>376</v>
      </c>
      <c r="D35" s="199" t="s">
        <v>378</v>
      </c>
      <c r="E35" s="200" t="s">
        <v>377</v>
      </c>
      <c r="F35" s="201" t="s">
        <v>14</v>
      </c>
      <c r="G35" s="202">
        <v>2.46</v>
      </c>
      <c r="H35" s="203">
        <f>'1.časť_B.2_Súpis prác_D1-332 '!I34</f>
        <v>0</v>
      </c>
      <c r="I35" s="203">
        <f t="shared" si="0"/>
        <v>0</v>
      </c>
      <c r="K35" s="168"/>
      <c r="L35" s="168"/>
      <c r="M35" s="168"/>
    </row>
    <row r="36" spans="2:13">
      <c r="B36" s="86"/>
      <c r="C36" s="81" t="s">
        <v>48</v>
      </c>
      <c r="D36" s="81" t="s">
        <v>55</v>
      </c>
      <c r="E36" s="82" t="s">
        <v>233</v>
      </c>
      <c r="F36" s="83" t="s">
        <v>39</v>
      </c>
      <c r="G36" s="169">
        <v>6</v>
      </c>
      <c r="H36" s="169">
        <f>'1.časť_B.2_Súpis prác_D1-332 '!I35</f>
        <v>0</v>
      </c>
      <c r="I36" s="169">
        <f t="shared" si="0"/>
        <v>0</v>
      </c>
      <c r="K36" s="168"/>
      <c r="L36" s="168"/>
      <c r="M36" s="168"/>
    </row>
    <row r="37" spans="2:13" ht="21.5">
      <c r="B37" s="86"/>
      <c r="C37" s="81" t="s">
        <v>48</v>
      </c>
      <c r="D37" s="81" t="s">
        <v>55</v>
      </c>
      <c r="E37" s="82" t="s">
        <v>234</v>
      </c>
      <c r="F37" s="83" t="s">
        <v>39</v>
      </c>
      <c r="G37" s="169">
        <v>36</v>
      </c>
      <c r="H37" s="169">
        <f>'1.časť_B.2_Súpis prác_D1-332 '!I36</f>
        <v>0</v>
      </c>
      <c r="I37" s="169">
        <f t="shared" si="0"/>
        <v>0</v>
      </c>
      <c r="K37" s="168"/>
      <c r="L37" s="168"/>
      <c r="M37" s="168"/>
    </row>
    <row r="38" spans="2:13" ht="21.5">
      <c r="B38" s="86"/>
      <c r="C38" s="81" t="s">
        <v>48</v>
      </c>
      <c r="D38" s="81" t="s">
        <v>55</v>
      </c>
      <c r="E38" s="82" t="s">
        <v>235</v>
      </c>
      <c r="F38" s="83" t="s">
        <v>39</v>
      </c>
      <c r="G38" s="169">
        <v>30</v>
      </c>
      <c r="H38" s="169">
        <f>'1.časť_B.2_Súpis prác_D1-332 '!I37</f>
        <v>0</v>
      </c>
      <c r="I38" s="169">
        <f t="shared" si="0"/>
        <v>0</v>
      </c>
      <c r="K38" s="168"/>
      <c r="L38" s="168"/>
      <c r="M38" s="168"/>
    </row>
    <row r="39" spans="2:13">
      <c r="B39" s="86"/>
      <c r="C39" s="81" t="s">
        <v>48</v>
      </c>
      <c r="D39" s="81" t="s">
        <v>278</v>
      </c>
      <c r="E39" s="82" t="s">
        <v>279</v>
      </c>
      <c r="F39" s="83" t="s">
        <v>17</v>
      </c>
      <c r="G39" s="169">
        <v>0.56999999999999995</v>
      </c>
      <c r="H39" s="169">
        <f>'1.časť_B.2_Súpis prác_D1-332 '!I38</f>
        <v>0</v>
      </c>
      <c r="I39" s="169">
        <f t="shared" si="0"/>
        <v>0</v>
      </c>
      <c r="K39" s="168"/>
      <c r="L39" s="168"/>
      <c r="M39" s="168"/>
    </row>
    <row r="40" spans="2:13">
      <c r="B40" s="86"/>
      <c r="C40" s="81" t="s">
        <v>48</v>
      </c>
      <c r="D40" s="81" t="s">
        <v>57</v>
      </c>
      <c r="E40" s="82" t="s">
        <v>58</v>
      </c>
      <c r="F40" s="83" t="s">
        <v>14</v>
      </c>
      <c r="G40" s="169">
        <v>618.20000000000005</v>
      </c>
      <c r="H40" s="169">
        <f>'1.časť_B.2_Súpis prác_D1-332 '!I39</f>
        <v>0</v>
      </c>
      <c r="I40" s="169">
        <f t="shared" si="0"/>
        <v>0</v>
      </c>
      <c r="K40" s="168"/>
      <c r="L40" s="168"/>
      <c r="M40" s="168"/>
    </row>
    <row r="41" spans="2:13">
      <c r="B41" s="86"/>
      <c r="C41" s="81" t="s">
        <v>59</v>
      </c>
      <c r="D41" s="81" t="s">
        <v>60</v>
      </c>
      <c r="E41" s="82" t="s">
        <v>61</v>
      </c>
      <c r="F41" s="83" t="s">
        <v>14</v>
      </c>
      <c r="G41" s="169">
        <v>35.130000000000003</v>
      </c>
      <c r="H41" s="169">
        <f>'1.časť_B.2_Súpis prác_D1-332 '!I40</f>
        <v>0</v>
      </c>
      <c r="I41" s="169">
        <f t="shared" si="0"/>
        <v>0</v>
      </c>
      <c r="K41" s="168"/>
      <c r="L41" s="168"/>
      <c r="M41" s="168"/>
    </row>
    <row r="42" spans="2:13">
      <c r="B42" s="86"/>
      <c r="C42" s="81" t="s">
        <v>59</v>
      </c>
      <c r="D42" s="81" t="s">
        <v>62</v>
      </c>
      <c r="E42" s="82" t="s">
        <v>63</v>
      </c>
      <c r="F42" s="83" t="s">
        <v>17</v>
      </c>
      <c r="G42" s="169">
        <v>140.5</v>
      </c>
      <c r="H42" s="169">
        <f>'1.časť_B.2_Súpis prác_D1-332 '!I41</f>
        <v>0</v>
      </c>
      <c r="I42" s="169">
        <f t="shared" si="0"/>
        <v>0</v>
      </c>
      <c r="K42" s="168"/>
      <c r="L42" s="168"/>
      <c r="M42" s="168"/>
    </row>
    <row r="43" spans="2:13">
      <c r="B43" s="86"/>
      <c r="C43" s="81" t="s">
        <v>64</v>
      </c>
      <c r="D43" s="81" t="s">
        <v>65</v>
      </c>
      <c r="E43" s="82" t="s">
        <v>66</v>
      </c>
      <c r="F43" s="83" t="s">
        <v>33</v>
      </c>
      <c r="G43" s="169">
        <v>101.57</v>
      </c>
      <c r="H43" s="169">
        <f>'1.časť_B.2_Súpis prác_D1-332 '!I42</f>
        <v>0</v>
      </c>
      <c r="I43" s="169">
        <f t="shared" si="0"/>
        <v>0</v>
      </c>
      <c r="K43" s="168"/>
      <c r="L43" s="168"/>
      <c r="M43" s="168"/>
    </row>
    <row r="44" spans="2:13">
      <c r="B44" s="86"/>
      <c r="C44" s="81" t="s">
        <v>106</v>
      </c>
      <c r="D44" s="81" t="s">
        <v>110</v>
      </c>
      <c r="E44" s="82" t="s">
        <v>108</v>
      </c>
      <c r="F44" s="83" t="s">
        <v>111</v>
      </c>
      <c r="G44" s="169">
        <v>50</v>
      </c>
      <c r="H44" s="169">
        <f>'1.časť_B.2_Súpis prác_D1-332 '!I43</f>
        <v>0</v>
      </c>
      <c r="I44" s="169">
        <f t="shared" si="0"/>
        <v>0</v>
      </c>
      <c r="K44" s="168"/>
      <c r="L44" s="168"/>
      <c r="M44" s="168"/>
    </row>
    <row r="45" spans="2:13">
      <c r="B45" s="86"/>
      <c r="C45" s="114" t="s">
        <v>67</v>
      </c>
      <c r="D45" s="81" t="s">
        <v>281</v>
      </c>
      <c r="E45" s="82" t="s">
        <v>282</v>
      </c>
      <c r="F45" s="83" t="s">
        <v>33</v>
      </c>
      <c r="G45" s="169">
        <v>637.46</v>
      </c>
      <c r="H45" s="169">
        <f>'1.časť_B.2_Súpis prác_D1-332 '!I44</f>
        <v>0</v>
      </c>
      <c r="I45" s="169">
        <f t="shared" si="0"/>
        <v>0</v>
      </c>
      <c r="K45" s="168"/>
      <c r="L45" s="168"/>
      <c r="M45" s="168"/>
    </row>
    <row r="46" spans="2:13">
      <c r="B46" s="86"/>
      <c r="C46" s="114" t="s">
        <v>67</v>
      </c>
      <c r="D46" s="81" t="s">
        <v>283</v>
      </c>
      <c r="E46" s="82" t="s">
        <v>282</v>
      </c>
      <c r="F46" s="83" t="s">
        <v>33</v>
      </c>
      <c r="G46" s="169">
        <v>36.659999999999997</v>
      </c>
      <c r="H46" s="169">
        <f>'1.časť_B.2_Súpis prác_D1-332 '!I45</f>
        <v>0</v>
      </c>
      <c r="I46" s="169">
        <f t="shared" si="0"/>
        <v>0</v>
      </c>
      <c r="K46" s="168"/>
      <c r="L46" s="168"/>
      <c r="M46" s="168"/>
    </row>
    <row r="47" spans="2:13">
      <c r="B47" s="86"/>
      <c r="C47" s="114" t="s">
        <v>67</v>
      </c>
      <c r="D47" s="81" t="s">
        <v>68</v>
      </c>
      <c r="E47" s="82" t="s">
        <v>69</v>
      </c>
      <c r="F47" s="83" t="s">
        <v>39</v>
      </c>
      <c r="G47" s="169">
        <v>4944</v>
      </c>
      <c r="H47" s="169">
        <f>'1.časť_B.2_Súpis prác_D1-332 '!I46</f>
        <v>0</v>
      </c>
      <c r="I47" s="169">
        <f t="shared" si="0"/>
        <v>0</v>
      </c>
      <c r="K47" s="168"/>
      <c r="L47" s="168"/>
      <c r="M47" s="168"/>
    </row>
    <row r="48" spans="2:13">
      <c r="B48" s="86"/>
      <c r="C48" s="114" t="s">
        <v>67</v>
      </c>
      <c r="D48" s="81" t="s">
        <v>211</v>
      </c>
      <c r="E48" s="82" t="s">
        <v>212</v>
      </c>
      <c r="F48" s="83" t="s">
        <v>17</v>
      </c>
      <c r="G48" s="169">
        <v>371.68</v>
      </c>
      <c r="H48" s="169">
        <f>'1.časť_B.2_Súpis prác_D1-332 '!I47</f>
        <v>0</v>
      </c>
      <c r="I48" s="169">
        <f t="shared" si="0"/>
        <v>0</v>
      </c>
      <c r="K48" s="168"/>
      <c r="L48" s="168"/>
      <c r="M48" s="168"/>
    </row>
    <row r="49" spans="1:13">
      <c r="B49" s="86"/>
      <c r="C49" s="81" t="s">
        <v>77</v>
      </c>
      <c r="D49" s="81" t="s">
        <v>78</v>
      </c>
      <c r="E49" s="82" t="s">
        <v>79</v>
      </c>
      <c r="F49" s="83" t="s">
        <v>14</v>
      </c>
      <c r="G49" s="169">
        <v>8.6999999999999993</v>
      </c>
      <c r="H49" s="169">
        <f>'1.časť_B.2_Súpis prác_D1-332 '!I48</f>
        <v>0</v>
      </c>
      <c r="I49" s="169">
        <f t="shared" si="0"/>
        <v>0</v>
      </c>
      <c r="K49" s="168"/>
      <c r="L49" s="168"/>
      <c r="M49" s="168"/>
    </row>
    <row r="50" spans="1:13">
      <c r="B50" s="86"/>
      <c r="C50" s="81" t="s">
        <v>77</v>
      </c>
      <c r="D50" s="81" t="s">
        <v>80</v>
      </c>
      <c r="E50" s="82" t="s">
        <v>81</v>
      </c>
      <c r="F50" s="83" t="s">
        <v>17</v>
      </c>
      <c r="G50" s="169">
        <v>36.520000000000003</v>
      </c>
      <c r="H50" s="169">
        <f>'1.časť_B.2_Súpis prác_D1-332 '!I49</f>
        <v>0</v>
      </c>
      <c r="I50" s="169">
        <f t="shared" si="0"/>
        <v>0</v>
      </c>
      <c r="K50" s="168"/>
      <c r="L50" s="168"/>
      <c r="M50" s="168"/>
    </row>
    <row r="51" spans="1:13">
      <c r="B51" s="86"/>
      <c r="C51" s="81" t="s">
        <v>77</v>
      </c>
      <c r="D51" s="81" t="s">
        <v>82</v>
      </c>
      <c r="E51" s="82" t="s">
        <v>83</v>
      </c>
      <c r="F51" s="83" t="s">
        <v>11</v>
      </c>
      <c r="G51" s="169">
        <v>0.31</v>
      </c>
      <c r="H51" s="169">
        <f>'1.časť_B.2_Súpis prác_D1-332 '!I50</f>
        <v>0</v>
      </c>
      <c r="I51" s="169">
        <f t="shared" si="0"/>
        <v>0</v>
      </c>
      <c r="K51" s="168"/>
      <c r="L51" s="168"/>
      <c r="M51" s="168"/>
    </row>
    <row r="52" spans="1:13">
      <c r="B52" s="86"/>
      <c r="C52" s="81" t="s">
        <v>77</v>
      </c>
      <c r="D52" s="81" t="s">
        <v>84</v>
      </c>
      <c r="E52" s="82" t="s">
        <v>85</v>
      </c>
      <c r="F52" s="83" t="s">
        <v>14</v>
      </c>
      <c r="G52" s="169">
        <v>8.5</v>
      </c>
      <c r="H52" s="169">
        <f>'1.časť_B.2_Súpis prác_D1-332 '!I51</f>
        <v>0</v>
      </c>
      <c r="I52" s="169">
        <f t="shared" si="0"/>
        <v>0</v>
      </c>
      <c r="K52" s="168"/>
      <c r="L52" s="168"/>
      <c r="M52" s="168"/>
    </row>
    <row r="53" spans="1:13">
      <c r="B53" s="234" t="s">
        <v>286</v>
      </c>
      <c r="C53" s="235"/>
      <c r="D53" s="235"/>
      <c r="E53" s="235"/>
      <c r="F53" s="235"/>
      <c r="G53" s="236"/>
      <c r="H53" s="237"/>
      <c r="I53" s="95">
        <f>SUM(I13:I52)</f>
        <v>0</v>
      </c>
      <c r="K53" s="165"/>
      <c r="L53" s="165"/>
      <c r="M53" s="165"/>
    </row>
    <row r="54" spans="1:13">
      <c r="B54" s="238" t="s">
        <v>86</v>
      </c>
      <c r="C54" s="239"/>
      <c r="D54" s="239"/>
      <c r="E54" s="239"/>
      <c r="F54" s="239"/>
      <c r="G54" s="240"/>
      <c r="H54" s="96"/>
      <c r="I54" s="97">
        <f>SUM(I7:I11,I13:I52)</f>
        <v>0</v>
      </c>
      <c r="J54" s="79"/>
      <c r="K54" s="165"/>
      <c r="L54" s="165"/>
      <c r="M54" s="165"/>
    </row>
    <row r="57" spans="1:13">
      <c r="A57" s="221"/>
      <c r="B57" s="221"/>
      <c r="C57" s="221"/>
      <c r="D57" s="221"/>
      <c r="E57" s="221"/>
      <c r="F57" s="221"/>
    </row>
    <row r="58" spans="1:13">
      <c r="A58" s="221"/>
      <c r="B58" s="221"/>
      <c r="C58" s="221"/>
      <c r="D58" s="221"/>
      <c r="E58" s="221"/>
      <c r="F58" s="221"/>
    </row>
    <row r="59" spans="1:13">
      <c r="A59" s="221"/>
      <c r="B59" s="67" t="s">
        <v>240</v>
      </c>
      <c r="C59" s="221"/>
      <c r="D59" s="221"/>
      <c r="E59" s="233" t="s">
        <v>237</v>
      </c>
      <c r="F59" s="233"/>
    </row>
    <row r="60" spans="1:13">
      <c r="A60" s="221"/>
      <c r="B60" s="221"/>
      <c r="C60" s="221"/>
      <c r="D60" s="221"/>
      <c r="E60" s="233" t="s">
        <v>238</v>
      </c>
      <c r="F60" s="233"/>
    </row>
    <row r="61" spans="1:13">
      <c r="A61" s="221"/>
      <c r="B61" s="221"/>
      <c r="C61" s="221"/>
      <c r="D61" s="221"/>
      <c r="E61" s="233" t="s">
        <v>239</v>
      </c>
      <c r="F61" s="233"/>
    </row>
    <row r="62" spans="1:13">
      <c r="A62" s="221"/>
      <c r="B62" s="221"/>
      <c r="C62" s="221"/>
      <c r="D62" s="221"/>
      <c r="E62" s="221"/>
      <c r="F62" s="221"/>
    </row>
  </sheetData>
  <sheetProtection algorithmName="SHA-512" hashValue="4SRPHieypBcFxw8GjKtT9yYaC5GhFAVJVxPRw7Q9fSzhlEoZ9EQu3Htx8WZyCaVDerHH7cFu181F68eCbjiCRg==" saltValue="uf3DVsYZitzB+3DifMekJg==" spinCount="100000" sheet="1" objects="1" scenarios="1"/>
  <mergeCells count="7">
    <mergeCell ref="E61:F61"/>
    <mergeCell ref="C6:D6"/>
    <mergeCell ref="B12:H12"/>
    <mergeCell ref="B53:H53"/>
    <mergeCell ref="B54:G54"/>
    <mergeCell ref="E59:F59"/>
    <mergeCell ref="E60:F60"/>
  </mergeCells>
  <pageMargins left="0.25" right="0.25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97"/>
  <sheetViews>
    <sheetView topLeftCell="A29" zoomScaleNormal="100" workbookViewId="0">
      <selection activeCell="S29" sqref="S29"/>
    </sheetView>
  </sheetViews>
  <sheetFormatPr defaultColWidth="9.26953125" defaultRowHeight="14.5"/>
  <cols>
    <col min="1" max="1" width="2.26953125" style="7" customWidth="1"/>
    <col min="2" max="2" width="3.453125" style="7" customWidth="1"/>
    <col min="3" max="4" width="7.81640625" style="7" bestFit="1" customWidth="1"/>
    <col min="5" max="5" width="10.54296875" style="7" customWidth="1"/>
    <col min="6" max="6" width="50.7265625" style="7" customWidth="1"/>
    <col min="7" max="7" width="8.7265625" style="7" customWidth="1"/>
    <col min="8" max="8" width="6" style="159" customWidth="1"/>
    <col min="9" max="9" width="8.81640625" style="7" bestFit="1" customWidth="1"/>
    <col min="10" max="10" width="11.81640625" style="7" customWidth="1"/>
    <col min="11" max="16384" width="9.26953125" style="7"/>
  </cols>
  <sheetData>
    <row r="1" spans="2:10">
      <c r="I1" s="182" t="s">
        <v>363</v>
      </c>
    </row>
    <row r="2" spans="2:10">
      <c r="I2" s="182" t="s">
        <v>357</v>
      </c>
    </row>
    <row r="3" spans="2:10">
      <c r="B3" s="186" t="s">
        <v>364</v>
      </c>
    </row>
    <row r="4" spans="2:10">
      <c r="B4" s="186" t="s">
        <v>360</v>
      </c>
    </row>
    <row r="5" spans="2:10" ht="15.75" customHeight="1">
      <c r="B5" s="245"/>
      <c r="C5" s="245"/>
      <c r="D5" s="245"/>
      <c r="E5" s="245"/>
      <c r="F5" s="245"/>
      <c r="G5" s="115"/>
      <c r="H5" s="116"/>
    </row>
    <row r="6" spans="2:10" ht="18" customHeight="1">
      <c r="B6" s="246" t="s">
        <v>7</v>
      </c>
      <c r="C6" s="246"/>
      <c r="D6" s="246"/>
      <c r="E6" s="246"/>
      <c r="F6" s="246"/>
      <c r="G6" s="246"/>
      <c r="H6" s="246"/>
      <c r="I6" s="246"/>
    </row>
    <row r="7" spans="2:10">
      <c r="B7" s="117"/>
      <c r="C7" s="118" t="s">
        <v>287</v>
      </c>
      <c r="D7" s="247" t="s">
        <v>1</v>
      </c>
      <c r="E7" s="248"/>
      <c r="F7" s="117" t="s">
        <v>2</v>
      </c>
      <c r="G7" s="117"/>
      <c r="H7" s="119" t="s">
        <v>3</v>
      </c>
      <c r="I7" s="117" t="s">
        <v>4</v>
      </c>
    </row>
    <row r="8" spans="2:10">
      <c r="B8" s="120"/>
      <c r="C8" s="36" t="s">
        <v>8</v>
      </c>
      <c r="D8" s="64"/>
      <c r="E8" s="121"/>
      <c r="F8" s="122" t="s">
        <v>114</v>
      </c>
      <c r="G8" s="123"/>
      <c r="H8" s="120"/>
      <c r="I8" s="124"/>
    </row>
    <row r="9" spans="2:10">
      <c r="B9" s="18"/>
      <c r="C9" s="11"/>
      <c r="D9" s="4" t="s">
        <v>9</v>
      </c>
      <c r="E9" s="3"/>
      <c r="F9" s="15" t="s">
        <v>10</v>
      </c>
      <c r="G9" s="125"/>
      <c r="H9" s="126" t="s">
        <v>11</v>
      </c>
      <c r="I9" s="127">
        <v>279.2</v>
      </c>
    </row>
    <row r="10" spans="2:10">
      <c r="B10" s="18">
        <v>1</v>
      </c>
      <c r="C10" s="3"/>
      <c r="D10" s="4"/>
      <c r="E10" s="3" t="s">
        <v>115</v>
      </c>
      <c r="F10" s="15" t="s">
        <v>10</v>
      </c>
      <c r="G10" s="16"/>
      <c r="H10" s="128" t="s">
        <v>11</v>
      </c>
      <c r="I10" s="129">
        <f>G12</f>
        <v>257.08</v>
      </c>
    </row>
    <row r="11" spans="2:10">
      <c r="B11" s="18"/>
      <c r="C11" s="3"/>
      <c r="D11" s="4"/>
      <c r="E11" s="3"/>
      <c r="F11" s="19" t="s">
        <v>236</v>
      </c>
      <c r="G11" s="130">
        <f>G39+G41</f>
        <v>257.08</v>
      </c>
      <c r="H11" s="1"/>
      <c r="I11" s="127"/>
    </row>
    <row r="12" spans="2:10">
      <c r="B12" s="18"/>
      <c r="C12" s="3"/>
      <c r="D12" s="4"/>
      <c r="E12" s="3"/>
      <c r="F12" s="131" t="s">
        <v>116</v>
      </c>
      <c r="G12" s="53">
        <f>SUM(G11)</f>
        <v>257.08</v>
      </c>
      <c r="H12" s="1"/>
      <c r="I12" s="132"/>
    </row>
    <row r="13" spans="2:10">
      <c r="B13" s="133"/>
      <c r="C13" s="3"/>
      <c r="D13" s="23" t="s">
        <v>117</v>
      </c>
      <c r="E13" s="24"/>
      <c r="F13" s="25" t="s">
        <v>118</v>
      </c>
      <c r="G13" s="125"/>
      <c r="H13" s="43" t="s">
        <v>14</v>
      </c>
      <c r="I13" s="134">
        <v>6.5</v>
      </c>
      <c r="J13" s="198"/>
    </row>
    <row r="14" spans="2:10">
      <c r="B14" s="18">
        <f>MAX($B$10:B13)+1</f>
        <v>2</v>
      </c>
      <c r="C14" s="3"/>
      <c r="D14" s="4"/>
      <c r="E14" s="3" t="s">
        <v>119</v>
      </c>
      <c r="F14" s="15" t="s">
        <v>118</v>
      </c>
      <c r="G14" s="16"/>
      <c r="H14" s="1" t="s">
        <v>14</v>
      </c>
      <c r="I14" s="129">
        <f>G16</f>
        <v>6.5</v>
      </c>
      <c r="J14" s="198"/>
    </row>
    <row r="15" spans="2:10">
      <c r="B15" s="18"/>
      <c r="C15" s="3"/>
      <c r="D15" s="4"/>
      <c r="E15" s="3"/>
      <c r="F15" s="19" t="s">
        <v>120</v>
      </c>
      <c r="G15" s="135">
        <f>G79</f>
        <v>6.5</v>
      </c>
      <c r="H15" s="1"/>
      <c r="I15" s="136"/>
      <c r="J15" s="198"/>
    </row>
    <row r="16" spans="2:10">
      <c r="B16" s="18"/>
      <c r="C16" s="3"/>
      <c r="D16" s="4"/>
      <c r="E16" s="3"/>
      <c r="F16" s="131" t="s">
        <v>116</v>
      </c>
      <c r="G16" s="53">
        <f>SUM(G15)</f>
        <v>6.5</v>
      </c>
      <c r="H16" s="1"/>
      <c r="I16" s="132"/>
    </row>
    <row r="17" spans="2:10" ht="22">
      <c r="B17" s="18"/>
      <c r="C17" s="3"/>
      <c r="D17" s="23" t="s">
        <v>15</v>
      </c>
      <c r="E17" s="24"/>
      <c r="F17" s="25" t="s">
        <v>16</v>
      </c>
      <c r="G17" s="125"/>
      <c r="H17" s="43" t="s">
        <v>22</v>
      </c>
      <c r="I17" s="134">
        <v>1</v>
      </c>
    </row>
    <row r="18" spans="2:10" ht="21.5">
      <c r="B18" s="18">
        <f>MAX($B$10:B17)+1</f>
        <v>3</v>
      </c>
      <c r="C18" s="3"/>
      <c r="D18" s="4"/>
      <c r="E18" s="3" t="s">
        <v>121</v>
      </c>
      <c r="F18" s="15" t="s">
        <v>16</v>
      </c>
      <c r="G18" s="16"/>
      <c r="H18" s="1" t="s">
        <v>22</v>
      </c>
      <c r="I18" s="132">
        <v>1</v>
      </c>
    </row>
    <row r="19" spans="2:10">
      <c r="B19" s="18"/>
      <c r="C19" s="3"/>
      <c r="D19" s="4"/>
      <c r="E19" s="3"/>
      <c r="F19" s="15"/>
      <c r="G19" s="16"/>
      <c r="H19" s="1"/>
      <c r="I19" s="132"/>
    </row>
    <row r="20" spans="2:10" ht="22">
      <c r="B20" s="18"/>
      <c r="C20" s="3"/>
      <c r="D20" s="24" t="s">
        <v>18</v>
      </c>
      <c r="E20" s="23"/>
      <c r="F20" s="125" t="s">
        <v>19</v>
      </c>
      <c r="G20" s="137"/>
      <c r="H20" s="50" t="s">
        <v>22</v>
      </c>
      <c r="I20" s="138">
        <v>1</v>
      </c>
    </row>
    <row r="21" spans="2:10" ht="21.5">
      <c r="B21" s="18">
        <f>MAX($B$10:B20)+1</f>
        <v>4</v>
      </c>
      <c r="C21" s="3"/>
      <c r="D21" s="4"/>
      <c r="E21" s="3" t="s">
        <v>122</v>
      </c>
      <c r="F21" s="15" t="s">
        <v>19</v>
      </c>
      <c r="G21" s="16"/>
      <c r="H21" s="1" t="s">
        <v>22</v>
      </c>
      <c r="I21" s="132">
        <v>1</v>
      </c>
    </row>
    <row r="22" spans="2:10">
      <c r="B22" s="18"/>
      <c r="C22" s="3"/>
      <c r="D22" s="4"/>
      <c r="E22" s="3"/>
      <c r="F22" s="15"/>
      <c r="G22" s="16"/>
      <c r="H22" s="1"/>
      <c r="I22" s="132"/>
    </row>
    <row r="23" spans="2:10" ht="32.5">
      <c r="B23" s="18"/>
      <c r="C23" s="3"/>
      <c r="D23" s="24" t="s">
        <v>20</v>
      </c>
      <c r="E23" s="23"/>
      <c r="F23" s="125" t="s">
        <v>21</v>
      </c>
      <c r="G23" s="137"/>
      <c r="H23" s="50" t="s">
        <v>22</v>
      </c>
      <c r="I23" s="138">
        <v>1</v>
      </c>
    </row>
    <row r="24" spans="2:10" ht="21.5">
      <c r="B24" s="18">
        <f>MAX($B$10:B23)+1</f>
        <v>5</v>
      </c>
      <c r="C24" s="3"/>
      <c r="D24" s="4"/>
      <c r="E24" s="3" t="s">
        <v>288</v>
      </c>
      <c r="F24" s="15" t="s">
        <v>21</v>
      </c>
      <c r="G24" s="16"/>
      <c r="H24" s="1" t="s">
        <v>22</v>
      </c>
      <c r="I24" s="132">
        <v>1</v>
      </c>
    </row>
    <row r="25" spans="2:10">
      <c r="B25" s="139"/>
      <c r="C25" s="30"/>
      <c r="D25" s="31"/>
      <c r="E25" s="30"/>
      <c r="F25" s="29"/>
      <c r="G25" s="32"/>
      <c r="H25" s="140"/>
      <c r="I25" s="141"/>
    </row>
    <row r="26" spans="2:10">
      <c r="B26" s="142"/>
      <c r="C26" s="3"/>
      <c r="D26" s="3"/>
      <c r="E26" s="3"/>
      <c r="F26" s="16"/>
      <c r="G26" s="16"/>
      <c r="H26" s="143"/>
      <c r="I26" s="144"/>
    </row>
    <row r="27" spans="2:10">
      <c r="B27" s="246" t="s">
        <v>289</v>
      </c>
      <c r="C27" s="246"/>
      <c r="D27" s="246"/>
      <c r="E27" s="246"/>
      <c r="F27" s="246"/>
      <c r="G27" s="246"/>
      <c r="H27" s="246"/>
      <c r="I27" s="246"/>
    </row>
    <row r="28" spans="2:10" ht="14.15" customHeight="1">
      <c r="B28" s="145"/>
      <c r="C28" s="122" t="s">
        <v>25</v>
      </c>
      <c r="D28" s="64"/>
      <c r="E28" s="121"/>
      <c r="F28" s="122" t="s">
        <v>124</v>
      </c>
      <c r="G28" s="146"/>
      <c r="H28" s="147"/>
      <c r="I28" s="148"/>
      <c r="J28" s="149"/>
    </row>
    <row r="29" spans="2:10">
      <c r="B29" s="150"/>
      <c r="C29" s="12"/>
      <c r="D29" s="24" t="s">
        <v>26</v>
      </c>
      <c r="E29" s="23"/>
      <c r="F29" s="125" t="s">
        <v>27</v>
      </c>
      <c r="G29" s="137"/>
      <c r="H29" s="50" t="s">
        <v>17</v>
      </c>
      <c r="I29" s="138">
        <f>SUM(I30)</f>
        <v>140.5</v>
      </c>
      <c r="J29" s="149"/>
    </row>
    <row r="30" spans="2:10" ht="14.15" customHeight="1">
      <c r="B30" s="150">
        <v>1</v>
      </c>
      <c r="C30" s="12"/>
      <c r="D30" s="3"/>
      <c r="E30" s="4" t="s">
        <v>126</v>
      </c>
      <c r="F30" s="16" t="s">
        <v>27</v>
      </c>
      <c r="G30" s="151"/>
      <c r="H30" s="143" t="s">
        <v>17</v>
      </c>
      <c r="I30" s="152">
        <f>G32</f>
        <v>140.5</v>
      </c>
      <c r="J30" s="149"/>
    </row>
    <row r="31" spans="2:10" ht="14.15" customHeight="1">
      <c r="B31" s="150"/>
      <c r="C31" s="12"/>
      <c r="D31" s="3"/>
      <c r="E31" s="4"/>
      <c r="F31" s="153" t="s">
        <v>290</v>
      </c>
      <c r="G31" s="130">
        <f>140.5</f>
        <v>140.5</v>
      </c>
      <c r="H31" s="7"/>
      <c r="I31" s="152"/>
      <c r="J31" s="149"/>
    </row>
    <row r="32" spans="2:10" ht="14.15" customHeight="1">
      <c r="B32" s="150"/>
      <c r="C32" s="12"/>
      <c r="D32" s="3"/>
      <c r="E32" s="4"/>
      <c r="F32" s="154" t="s">
        <v>116</v>
      </c>
      <c r="G32" s="53">
        <f>SUM(G31)</f>
        <v>140.5</v>
      </c>
      <c r="H32" s="143"/>
      <c r="I32" s="152"/>
      <c r="J32" s="149"/>
    </row>
    <row r="33" spans="2:9">
      <c r="B33" s="150"/>
      <c r="C33" s="4"/>
      <c r="D33" s="23" t="s">
        <v>226</v>
      </c>
      <c r="E33" s="23"/>
      <c r="F33" s="42" t="s">
        <v>227</v>
      </c>
      <c r="G33" s="137"/>
      <c r="H33" s="50" t="s">
        <v>28</v>
      </c>
      <c r="I33" s="138">
        <f>SUM(I34)</f>
        <v>72</v>
      </c>
    </row>
    <row r="34" spans="2:9">
      <c r="B34" s="150">
        <f>MAX($B$28:B33)+1</f>
        <v>2</v>
      </c>
      <c r="C34" s="4"/>
      <c r="D34" s="4"/>
      <c r="E34" s="4" t="s">
        <v>229</v>
      </c>
      <c r="F34" s="44" t="s">
        <v>227</v>
      </c>
      <c r="G34" s="151"/>
      <c r="H34" s="143" t="s">
        <v>28</v>
      </c>
      <c r="I34" s="152">
        <f>G36</f>
        <v>72</v>
      </c>
    </row>
    <row r="35" spans="2:9">
      <c r="B35" s="150"/>
      <c r="C35" s="4"/>
      <c r="D35" s="3"/>
      <c r="E35" s="4"/>
      <c r="F35" s="153" t="s">
        <v>291</v>
      </c>
      <c r="G35" s="155">
        <v>72</v>
      </c>
      <c r="H35" s="156"/>
      <c r="I35" s="152"/>
    </row>
    <row r="36" spans="2:9">
      <c r="B36" s="150"/>
      <c r="C36" s="4"/>
      <c r="D36" s="3"/>
      <c r="E36" s="4"/>
      <c r="F36" s="154" t="s">
        <v>116</v>
      </c>
      <c r="G36" s="53">
        <f>SUM(G35)</f>
        <v>72</v>
      </c>
      <c r="H36" s="157"/>
      <c r="I36" s="152"/>
    </row>
    <row r="37" spans="2:9">
      <c r="B37" s="150"/>
      <c r="C37" s="4"/>
      <c r="D37" s="24" t="s">
        <v>29</v>
      </c>
      <c r="E37" s="23"/>
      <c r="F37" s="125" t="s">
        <v>30</v>
      </c>
      <c r="G37" s="137"/>
      <c r="H37" s="50" t="s">
        <v>11</v>
      </c>
      <c r="I37" s="138">
        <f>SUM(I38)</f>
        <v>262.12</v>
      </c>
    </row>
    <row r="38" spans="2:9">
      <c r="B38" s="150">
        <f>MAX($B$28:B37)+1</f>
        <v>3</v>
      </c>
      <c r="C38" s="4"/>
      <c r="D38" s="3"/>
      <c r="E38" s="4" t="s">
        <v>129</v>
      </c>
      <c r="F38" s="16" t="s">
        <v>292</v>
      </c>
      <c r="G38" s="151"/>
      <c r="H38" s="143" t="s">
        <v>11</v>
      </c>
      <c r="I38" s="152">
        <f>G42</f>
        <v>262.12</v>
      </c>
    </row>
    <row r="39" spans="2:9">
      <c r="B39" s="150"/>
      <c r="C39" s="4"/>
      <c r="D39" s="3"/>
      <c r="E39" s="4"/>
      <c r="F39" s="153" t="s">
        <v>293</v>
      </c>
      <c r="G39" s="155">
        <f>140.5*0.408</f>
        <v>57.32</v>
      </c>
      <c r="H39" s="143"/>
      <c r="I39" s="152"/>
    </row>
    <row r="40" spans="2:9">
      <c r="B40" s="150"/>
      <c r="C40" s="4"/>
      <c r="D40" s="3"/>
      <c r="E40" s="4"/>
      <c r="F40" s="153" t="s">
        <v>294</v>
      </c>
      <c r="G40" s="155">
        <f>72*0.07</f>
        <v>5.04</v>
      </c>
      <c r="H40" s="143"/>
      <c r="I40" s="152"/>
    </row>
    <row r="41" spans="2:9" ht="21.5">
      <c r="B41" s="150"/>
      <c r="C41" s="4"/>
      <c r="D41" s="3"/>
      <c r="E41" s="4"/>
      <c r="F41" s="153" t="s">
        <v>295</v>
      </c>
      <c r="G41" s="155">
        <f>(45.4+45.4)*2.2</f>
        <v>199.76</v>
      </c>
      <c r="H41" s="143"/>
      <c r="I41" s="152"/>
    </row>
    <row r="42" spans="2:9">
      <c r="B42" s="150"/>
      <c r="C42" s="4"/>
      <c r="D42" s="3"/>
      <c r="E42" s="4"/>
      <c r="F42" s="154" t="s">
        <v>116</v>
      </c>
      <c r="G42" s="53">
        <f>SUM(G39:G41)</f>
        <v>262.12</v>
      </c>
      <c r="H42" s="143"/>
      <c r="I42" s="152"/>
    </row>
    <row r="43" spans="2:9" ht="22">
      <c r="B43" s="150"/>
      <c r="C43" s="4"/>
      <c r="D43" s="24" t="s">
        <v>264</v>
      </c>
      <c r="E43" s="23"/>
      <c r="F43" s="125" t="s">
        <v>265</v>
      </c>
      <c r="G43" s="137"/>
      <c r="H43" s="50" t="s">
        <v>14</v>
      </c>
      <c r="I43" s="138">
        <f>SUM(I44)</f>
        <v>90.8</v>
      </c>
    </row>
    <row r="44" spans="2:9" ht="21.5">
      <c r="B44" s="150">
        <f>MAX($B$28:B43)+1</f>
        <v>4</v>
      </c>
      <c r="C44" s="4"/>
      <c r="D44" s="3"/>
      <c r="E44" s="4" t="s">
        <v>296</v>
      </c>
      <c r="F44" s="16" t="s">
        <v>297</v>
      </c>
      <c r="G44" s="151"/>
      <c r="H44" s="143" t="s">
        <v>14</v>
      </c>
      <c r="I44" s="152">
        <f>G46</f>
        <v>90.8</v>
      </c>
    </row>
    <row r="45" spans="2:9" ht="21.5">
      <c r="B45" s="150"/>
      <c r="C45" s="4"/>
      <c r="D45" s="3"/>
      <c r="E45" s="4"/>
      <c r="F45" s="153" t="s">
        <v>298</v>
      </c>
      <c r="G45" s="155">
        <f>45.4+45.4</f>
        <v>90.8</v>
      </c>
      <c r="H45" s="143"/>
      <c r="I45" s="152"/>
    </row>
    <row r="46" spans="2:9">
      <c r="B46" s="150"/>
      <c r="C46" s="4"/>
      <c r="D46" s="3"/>
      <c r="E46" s="4"/>
      <c r="F46" s="154" t="s">
        <v>116</v>
      </c>
      <c r="G46" s="53">
        <f>SUM(G44:G45)</f>
        <v>90.8</v>
      </c>
      <c r="H46" s="143"/>
      <c r="I46" s="152"/>
    </row>
    <row r="47" spans="2:9">
      <c r="B47" s="150"/>
      <c r="C47" s="12" t="s">
        <v>136</v>
      </c>
      <c r="D47" s="3"/>
      <c r="E47" s="4"/>
      <c r="F47" s="11" t="s">
        <v>137</v>
      </c>
      <c r="G47" s="15"/>
      <c r="H47" s="143"/>
      <c r="I47" s="152"/>
    </row>
    <row r="48" spans="2:9">
      <c r="B48" s="150"/>
      <c r="C48" s="4"/>
      <c r="D48" s="24" t="s">
        <v>35</v>
      </c>
      <c r="E48" s="23"/>
      <c r="F48" s="125" t="s">
        <v>36</v>
      </c>
      <c r="G48" s="137"/>
      <c r="H48" s="50" t="s">
        <v>17</v>
      </c>
      <c r="I48" s="138">
        <f>SUM(I49)</f>
        <v>300</v>
      </c>
    </row>
    <row r="49" spans="2:9">
      <c r="B49" s="150">
        <f>MAX($B$28:B48)+1</f>
        <v>5</v>
      </c>
      <c r="C49" s="4"/>
      <c r="D49" s="3"/>
      <c r="E49" s="4" t="s">
        <v>138</v>
      </c>
      <c r="F49" s="16" t="s">
        <v>139</v>
      </c>
      <c r="G49" s="151"/>
      <c r="H49" s="143" t="s">
        <v>17</v>
      </c>
      <c r="I49" s="152">
        <f>G51</f>
        <v>300</v>
      </c>
    </row>
    <row r="50" spans="2:9">
      <c r="B50" s="150"/>
      <c r="C50" s="4"/>
      <c r="D50" s="3"/>
      <c r="E50" s="4"/>
      <c r="F50" s="153" t="s">
        <v>140</v>
      </c>
      <c r="G50" s="130">
        <f>300</f>
        <v>300</v>
      </c>
      <c r="H50" s="7"/>
      <c r="I50" s="152"/>
    </row>
    <row r="51" spans="2:9">
      <c r="B51" s="150"/>
      <c r="C51" s="4"/>
      <c r="D51" s="3"/>
      <c r="E51" s="4"/>
      <c r="F51" s="158" t="s">
        <v>116</v>
      </c>
      <c r="G51" s="53">
        <f>SUM(G50)</f>
        <v>300</v>
      </c>
      <c r="H51" s="7"/>
      <c r="I51" s="152"/>
    </row>
    <row r="52" spans="2:9">
      <c r="B52" s="150"/>
      <c r="C52" s="4"/>
      <c r="D52" s="24" t="s">
        <v>37</v>
      </c>
      <c r="E52" s="23"/>
      <c r="F52" s="125" t="s">
        <v>38</v>
      </c>
      <c r="G52" s="137"/>
      <c r="H52" s="50" t="s">
        <v>39</v>
      </c>
      <c r="I52" s="138">
        <f>SUM(I53)</f>
        <v>10</v>
      </c>
    </row>
    <row r="53" spans="2:9">
      <c r="B53" s="150">
        <f>MAX($B$28:B52)+1</f>
        <v>6</v>
      </c>
      <c r="C53" s="4"/>
      <c r="D53" s="3"/>
      <c r="E53" s="4" t="s">
        <v>141</v>
      </c>
      <c r="F53" s="16" t="s">
        <v>142</v>
      </c>
      <c r="G53" s="151"/>
      <c r="H53" s="143" t="s">
        <v>39</v>
      </c>
      <c r="I53" s="152">
        <f>G55</f>
        <v>10</v>
      </c>
    </row>
    <row r="54" spans="2:9">
      <c r="B54" s="150"/>
      <c r="C54" s="4"/>
      <c r="D54" s="3"/>
      <c r="E54" s="4"/>
      <c r="F54" s="153" t="s">
        <v>143</v>
      </c>
      <c r="G54" s="130">
        <v>10</v>
      </c>
      <c r="H54" s="7"/>
      <c r="I54" s="152"/>
    </row>
    <row r="55" spans="2:9">
      <c r="B55" s="150"/>
      <c r="C55" s="4"/>
      <c r="D55" s="3"/>
      <c r="E55" s="4"/>
      <c r="F55" s="158" t="s">
        <v>116</v>
      </c>
      <c r="G55" s="53">
        <f>SUM(G54)</f>
        <v>10</v>
      </c>
      <c r="H55" s="143"/>
      <c r="I55" s="152"/>
    </row>
    <row r="56" spans="2:9">
      <c r="B56" s="150"/>
      <c r="C56" s="4"/>
      <c r="D56" s="24" t="s">
        <v>40</v>
      </c>
      <c r="E56" s="23"/>
      <c r="F56" s="125" t="s">
        <v>41</v>
      </c>
      <c r="G56" s="137"/>
      <c r="H56" s="50" t="s">
        <v>39</v>
      </c>
      <c r="I56" s="138">
        <f>SUM(I57)</f>
        <v>10</v>
      </c>
    </row>
    <row r="57" spans="2:9">
      <c r="B57" s="150">
        <f>MAX($B$28:B56)+1</f>
        <v>7</v>
      </c>
      <c r="C57" s="4"/>
      <c r="D57" s="3"/>
      <c r="E57" s="4" t="s">
        <v>144</v>
      </c>
      <c r="F57" s="16" t="s">
        <v>145</v>
      </c>
      <c r="G57" s="151"/>
      <c r="H57" s="143" t="s">
        <v>39</v>
      </c>
      <c r="I57" s="152">
        <f>G59</f>
        <v>10</v>
      </c>
    </row>
    <row r="58" spans="2:9">
      <c r="B58" s="150"/>
      <c r="C58" s="4"/>
      <c r="D58" s="3"/>
      <c r="E58" s="4"/>
      <c r="F58" s="153" t="s">
        <v>143</v>
      </c>
      <c r="G58" s="130">
        <v>10</v>
      </c>
      <c r="H58" s="7"/>
      <c r="I58" s="152"/>
    </row>
    <row r="59" spans="2:9">
      <c r="B59" s="150"/>
      <c r="C59" s="4"/>
      <c r="D59" s="3"/>
      <c r="E59" s="4"/>
      <c r="F59" s="158" t="s">
        <v>116</v>
      </c>
      <c r="G59" s="53">
        <f>SUM(G58)</f>
        <v>10</v>
      </c>
      <c r="H59" s="7"/>
      <c r="I59" s="152"/>
    </row>
    <row r="60" spans="2:9">
      <c r="B60" s="150"/>
      <c r="C60" s="4"/>
      <c r="D60" s="24" t="s">
        <v>266</v>
      </c>
      <c r="E60" s="23"/>
      <c r="F60" s="125" t="s">
        <v>267</v>
      </c>
      <c r="G60" s="137"/>
      <c r="H60" s="50" t="s">
        <v>33</v>
      </c>
      <c r="I60" s="138">
        <f>SUM(I61)</f>
        <v>35</v>
      </c>
    </row>
    <row r="61" spans="2:9" ht="21.5">
      <c r="B61" s="150">
        <f>MAX($B$28:B60)+1</f>
        <v>8</v>
      </c>
      <c r="C61" s="4"/>
      <c r="D61" s="3"/>
      <c r="E61" s="4" t="s">
        <v>299</v>
      </c>
      <c r="F61" s="16" t="s">
        <v>300</v>
      </c>
      <c r="G61" s="151"/>
      <c r="H61" s="143" t="s">
        <v>33</v>
      </c>
      <c r="I61" s="152">
        <f>G63</f>
        <v>35</v>
      </c>
    </row>
    <row r="62" spans="2:9">
      <c r="B62" s="150"/>
      <c r="C62" s="4"/>
      <c r="D62" s="3"/>
      <c r="E62" s="4"/>
      <c r="F62" s="153" t="s">
        <v>301</v>
      </c>
      <c r="G62" s="130">
        <f>35</f>
        <v>35</v>
      </c>
      <c r="H62" s="143"/>
      <c r="I62" s="152"/>
    </row>
    <row r="63" spans="2:9">
      <c r="B63" s="150"/>
      <c r="C63" s="4"/>
      <c r="D63" s="3"/>
      <c r="E63" s="4"/>
      <c r="F63" s="158" t="s">
        <v>116</v>
      </c>
      <c r="G63" s="53">
        <f>SUM(G62)</f>
        <v>35</v>
      </c>
      <c r="H63" s="143"/>
      <c r="I63" s="152"/>
    </row>
    <row r="64" spans="2:9">
      <c r="B64" s="150"/>
      <c r="C64" s="4"/>
      <c r="D64" s="24" t="s">
        <v>42</v>
      </c>
      <c r="E64" s="23"/>
      <c r="F64" s="125" t="s">
        <v>43</v>
      </c>
      <c r="G64" s="137"/>
      <c r="H64" s="50" t="s">
        <v>14</v>
      </c>
      <c r="I64" s="138">
        <f>SUM(I65)</f>
        <v>8.5</v>
      </c>
    </row>
    <row r="65" spans="2:9">
      <c r="B65" s="150">
        <f>MAX($B$28:B64)+1</f>
        <v>9</v>
      </c>
      <c r="C65" s="4"/>
      <c r="D65" s="3"/>
      <c r="E65" s="4" t="s">
        <v>146</v>
      </c>
      <c r="F65" s="16" t="s">
        <v>147</v>
      </c>
      <c r="G65" s="151"/>
      <c r="H65" s="143" t="s">
        <v>14</v>
      </c>
      <c r="I65" s="152">
        <f>G67</f>
        <v>8.5</v>
      </c>
    </row>
    <row r="66" spans="2:9">
      <c r="B66" s="150"/>
      <c r="C66" s="4"/>
      <c r="D66" s="3"/>
      <c r="E66" s="4"/>
      <c r="F66" s="153" t="s">
        <v>302</v>
      </c>
      <c r="G66" s="130">
        <f>8.5</f>
        <v>8.5</v>
      </c>
      <c r="H66" s="143"/>
      <c r="I66" s="152"/>
    </row>
    <row r="67" spans="2:9">
      <c r="B67" s="150"/>
      <c r="C67" s="4"/>
      <c r="D67" s="3"/>
      <c r="E67" s="4"/>
      <c r="F67" s="158" t="s">
        <v>116</v>
      </c>
      <c r="G67" s="53">
        <f>SUM(G66)</f>
        <v>8.5</v>
      </c>
      <c r="H67" s="143"/>
      <c r="I67" s="152"/>
    </row>
    <row r="68" spans="2:9">
      <c r="B68" s="150"/>
      <c r="C68" s="4"/>
      <c r="D68" s="24" t="s">
        <v>303</v>
      </c>
      <c r="E68" s="23"/>
      <c r="F68" s="125" t="s">
        <v>304</v>
      </c>
      <c r="G68" s="137"/>
      <c r="H68" s="50" t="s">
        <v>14</v>
      </c>
      <c r="I68" s="138">
        <f>SUM(I69)</f>
        <v>42</v>
      </c>
    </row>
    <row r="69" spans="2:9">
      <c r="B69" s="150">
        <f>MAX($B$28:B68)+1</f>
        <v>10</v>
      </c>
      <c r="C69" s="4"/>
      <c r="D69" s="3"/>
      <c r="E69" s="4" t="s">
        <v>305</v>
      </c>
      <c r="F69" s="16" t="s">
        <v>306</v>
      </c>
      <c r="G69" s="151"/>
      <c r="H69" s="143" t="s">
        <v>14</v>
      </c>
      <c r="I69" s="152">
        <f>G71</f>
        <v>42</v>
      </c>
    </row>
    <row r="70" spans="2:9">
      <c r="B70" s="150"/>
      <c r="C70" s="4"/>
      <c r="D70" s="3"/>
      <c r="E70" s="4"/>
      <c r="F70" s="153" t="s">
        <v>307</v>
      </c>
      <c r="G70" s="130">
        <f>42</f>
        <v>42</v>
      </c>
      <c r="H70" s="143"/>
      <c r="I70" s="152"/>
    </row>
    <row r="71" spans="2:9">
      <c r="B71" s="150"/>
      <c r="C71" s="4"/>
      <c r="D71" s="3"/>
      <c r="E71" s="4"/>
      <c r="F71" s="158" t="s">
        <v>116</v>
      </c>
      <c r="G71" s="53">
        <f>SUM(G70)</f>
        <v>42</v>
      </c>
      <c r="H71" s="143"/>
      <c r="I71" s="152"/>
    </row>
    <row r="72" spans="2:9">
      <c r="B72" s="150"/>
      <c r="C72" s="4"/>
      <c r="D72" s="24" t="s">
        <v>44</v>
      </c>
      <c r="E72" s="23"/>
      <c r="F72" s="125" t="s">
        <v>45</v>
      </c>
      <c r="G72" s="137"/>
      <c r="H72" s="50" t="s">
        <v>14</v>
      </c>
      <c r="I72" s="138">
        <f>SUM(I73)</f>
        <v>2</v>
      </c>
    </row>
    <row r="73" spans="2:9">
      <c r="B73" s="150">
        <f>MAX($B$28:B72)+1</f>
        <v>11</v>
      </c>
      <c r="C73" s="4"/>
      <c r="D73" s="3"/>
      <c r="E73" s="4" t="s">
        <v>150</v>
      </c>
      <c r="F73" s="16" t="s">
        <v>151</v>
      </c>
      <c r="G73" s="151"/>
      <c r="H73" s="143" t="s">
        <v>14</v>
      </c>
      <c r="I73" s="152">
        <f>G75</f>
        <v>2</v>
      </c>
    </row>
    <row r="74" spans="2:9">
      <c r="B74" s="150"/>
      <c r="C74" s="4"/>
      <c r="D74" s="3"/>
      <c r="E74" s="4"/>
      <c r="F74" s="153" t="s">
        <v>308</v>
      </c>
      <c r="G74" s="130">
        <f>2</f>
        <v>2</v>
      </c>
      <c r="H74" s="143"/>
      <c r="I74" s="152"/>
    </row>
    <row r="75" spans="2:9">
      <c r="B75" s="150"/>
      <c r="C75" s="4"/>
      <c r="D75" s="3"/>
      <c r="E75" s="4"/>
      <c r="F75" s="158" t="s">
        <v>116</v>
      </c>
      <c r="G75" s="53">
        <f>SUM(G74)</f>
        <v>2</v>
      </c>
      <c r="H75" s="143"/>
      <c r="I75" s="152"/>
    </row>
    <row r="76" spans="2:9">
      <c r="B76" s="150"/>
      <c r="C76" s="4"/>
      <c r="D76" s="24" t="s">
        <v>46</v>
      </c>
      <c r="E76" s="23"/>
      <c r="F76" s="125" t="s">
        <v>47</v>
      </c>
      <c r="G76" s="137"/>
      <c r="H76" s="50" t="s">
        <v>14</v>
      </c>
      <c r="I76" s="138">
        <f>SUM(I77)</f>
        <v>6.5</v>
      </c>
    </row>
    <row r="77" spans="2:9" ht="21.5">
      <c r="B77" s="150">
        <f>MAX($B$28:B76)+1</f>
        <v>12</v>
      </c>
      <c r="C77" s="4"/>
      <c r="D77" s="3"/>
      <c r="E77" s="4" t="s">
        <v>153</v>
      </c>
      <c r="F77" s="16" t="s">
        <v>154</v>
      </c>
      <c r="G77" s="151"/>
      <c r="H77" s="143" t="s">
        <v>14</v>
      </c>
      <c r="I77" s="152">
        <f>G79</f>
        <v>6.5</v>
      </c>
    </row>
    <row r="78" spans="2:9">
      <c r="B78" s="150"/>
      <c r="C78" s="4"/>
      <c r="D78" s="3"/>
      <c r="E78" s="5"/>
      <c r="F78" s="153" t="s">
        <v>309</v>
      </c>
      <c r="G78" s="130">
        <f>8.5-2</f>
        <v>6.5</v>
      </c>
      <c r="H78" s="7"/>
      <c r="I78" s="152"/>
    </row>
    <row r="79" spans="2:9">
      <c r="B79" s="150"/>
      <c r="C79" s="4"/>
      <c r="D79" s="3"/>
      <c r="E79" s="4"/>
      <c r="F79" s="158" t="s">
        <v>116</v>
      </c>
      <c r="G79" s="53">
        <f>SUM(G78)</f>
        <v>6.5</v>
      </c>
      <c r="H79" s="143"/>
      <c r="I79" s="152"/>
    </row>
    <row r="80" spans="2:9">
      <c r="B80" s="150"/>
      <c r="C80" s="4"/>
      <c r="D80" s="3"/>
      <c r="E80" s="4"/>
      <c r="F80" s="158"/>
      <c r="G80" s="53"/>
      <c r="H80" s="143"/>
      <c r="I80" s="152"/>
    </row>
    <row r="81" spans="2:9">
      <c r="B81" s="150"/>
      <c r="C81" s="4"/>
      <c r="D81" s="24" t="s">
        <v>46</v>
      </c>
      <c r="E81" s="23"/>
      <c r="F81" s="125" t="s">
        <v>47</v>
      </c>
      <c r="G81" s="137"/>
      <c r="H81" s="50" t="s">
        <v>17</v>
      </c>
      <c r="I81" s="138">
        <f>SUM(I82)</f>
        <v>300</v>
      </c>
    </row>
    <row r="82" spans="2:9">
      <c r="B82" s="150">
        <f>MAX($B$28:B81)+1</f>
        <v>13</v>
      </c>
      <c r="C82" s="4"/>
      <c r="D82" s="3"/>
      <c r="E82" s="4" t="s">
        <v>156</v>
      </c>
      <c r="F82" s="16" t="s">
        <v>157</v>
      </c>
      <c r="G82" s="151"/>
      <c r="H82" s="143" t="s">
        <v>17</v>
      </c>
      <c r="I82" s="152">
        <f>G84</f>
        <v>300</v>
      </c>
    </row>
    <row r="83" spans="2:9">
      <c r="B83" s="150"/>
      <c r="C83" s="4"/>
      <c r="D83" s="3"/>
      <c r="E83" s="4"/>
      <c r="F83" s="153" t="s">
        <v>140</v>
      </c>
      <c r="G83" s="130">
        <f>300</f>
        <v>300</v>
      </c>
      <c r="H83" s="7"/>
      <c r="I83" s="152"/>
    </row>
    <row r="84" spans="2:9">
      <c r="B84" s="150"/>
      <c r="C84" s="4"/>
      <c r="D84" s="3"/>
      <c r="E84" s="4"/>
      <c r="F84" s="158" t="s">
        <v>116</v>
      </c>
      <c r="G84" s="53">
        <f>SUM(G83)</f>
        <v>300</v>
      </c>
      <c r="H84" s="7"/>
      <c r="I84" s="152"/>
    </row>
    <row r="85" spans="2:9">
      <c r="B85" s="150"/>
      <c r="C85" s="4"/>
      <c r="D85" s="24" t="s">
        <v>46</v>
      </c>
      <c r="E85" s="23"/>
      <c r="F85" s="125" t="s">
        <v>47</v>
      </c>
      <c r="G85" s="137"/>
      <c r="H85" s="50" t="s">
        <v>39</v>
      </c>
      <c r="I85" s="138">
        <f>SUM(I86)</f>
        <v>10</v>
      </c>
    </row>
    <row r="86" spans="2:9">
      <c r="B86" s="150">
        <f>MAX($B$28:B85)+1</f>
        <v>14</v>
      </c>
      <c r="C86" s="4"/>
      <c r="D86" s="3"/>
      <c r="E86" s="4" t="s">
        <v>158</v>
      </c>
      <c r="F86" s="16" t="s">
        <v>159</v>
      </c>
      <c r="G86" s="151"/>
      <c r="H86" s="143" t="s">
        <v>39</v>
      </c>
      <c r="I86" s="152">
        <f>G88</f>
        <v>10</v>
      </c>
    </row>
    <row r="87" spans="2:9">
      <c r="B87" s="150"/>
      <c r="C87" s="4"/>
      <c r="D87" s="3"/>
      <c r="E87" s="4"/>
      <c r="F87" s="153" t="s">
        <v>160</v>
      </c>
      <c r="G87" s="130">
        <f>10</f>
        <v>10</v>
      </c>
      <c r="H87" s="7"/>
      <c r="I87" s="152"/>
    </row>
    <row r="88" spans="2:9">
      <c r="B88" s="150"/>
      <c r="C88" s="4"/>
      <c r="D88" s="3"/>
      <c r="E88" s="4"/>
      <c r="F88" s="158" t="s">
        <v>116</v>
      </c>
      <c r="G88" s="53">
        <f>SUM(G87)</f>
        <v>10</v>
      </c>
      <c r="H88" s="7"/>
      <c r="I88" s="152"/>
    </row>
    <row r="89" spans="2:9">
      <c r="B89" s="150"/>
      <c r="C89" s="12" t="s">
        <v>48</v>
      </c>
      <c r="D89" s="3"/>
      <c r="E89" s="4"/>
      <c r="F89" s="11" t="s">
        <v>161</v>
      </c>
      <c r="G89" s="53"/>
      <c r="H89" s="7"/>
      <c r="I89" s="152"/>
    </row>
    <row r="90" spans="2:9">
      <c r="B90" s="150"/>
      <c r="C90" s="4"/>
      <c r="D90" s="24" t="s">
        <v>49</v>
      </c>
      <c r="E90" s="23"/>
      <c r="F90" s="125" t="s">
        <v>50</v>
      </c>
      <c r="G90" s="137"/>
      <c r="H90" s="50" t="s">
        <v>14</v>
      </c>
      <c r="I90" s="138">
        <f>SUM(I91)</f>
        <v>55.75</v>
      </c>
    </row>
    <row r="91" spans="2:9" ht="21.5">
      <c r="B91" s="150">
        <f>MAX($B$28:B90)+1</f>
        <v>15</v>
      </c>
      <c r="C91" s="4"/>
      <c r="D91" s="3"/>
      <c r="E91" s="4" t="s">
        <v>162</v>
      </c>
      <c r="F91" s="16" t="s">
        <v>163</v>
      </c>
      <c r="G91" s="151"/>
      <c r="H91" s="143" t="s">
        <v>14</v>
      </c>
      <c r="I91" s="152">
        <f>G93</f>
        <v>55.75</v>
      </c>
    </row>
    <row r="92" spans="2:9" ht="21.5">
      <c r="B92" s="150"/>
      <c r="C92" s="4"/>
      <c r="D92" s="3"/>
      <c r="E92" s="4"/>
      <c r="F92" s="153" t="s">
        <v>310</v>
      </c>
      <c r="G92" s="130">
        <f>(4.1*29.5+40*2 + 3.55*29.5+33*2)*0.15</f>
        <v>55.75</v>
      </c>
      <c r="H92" s="143"/>
      <c r="I92" s="152"/>
    </row>
    <row r="93" spans="2:9">
      <c r="B93" s="150"/>
      <c r="C93" s="4"/>
      <c r="D93" s="3"/>
      <c r="E93" s="4"/>
      <c r="F93" s="158" t="s">
        <v>116</v>
      </c>
      <c r="G93" s="53">
        <f>SUM(G92)</f>
        <v>55.75</v>
      </c>
      <c r="H93" s="143"/>
      <c r="I93" s="152"/>
    </row>
    <row r="94" spans="2:9">
      <c r="B94" s="150"/>
      <c r="C94" s="4"/>
      <c r="D94" s="24" t="s">
        <v>51</v>
      </c>
      <c r="E94" s="23"/>
      <c r="F94" s="125" t="s">
        <v>52</v>
      </c>
      <c r="G94" s="137"/>
      <c r="H94" s="50" t="s">
        <v>17</v>
      </c>
      <c r="I94" s="138">
        <f>SUM(I95)</f>
        <v>371.68</v>
      </c>
    </row>
    <row r="95" spans="2:9">
      <c r="B95" s="150">
        <f>MAX($B$28:B94)+1</f>
        <v>16</v>
      </c>
      <c r="C95" s="4"/>
      <c r="D95" s="3"/>
      <c r="E95" s="4" t="s">
        <v>165</v>
      </c>
      <c r="F95" s="16" t="s">
        <v>166</v>
      </c>
      <c r="G95" s="151"/>
      <c r="H95" s="143" t="s">
        <v>17</v>
      </c>
      <c r="I95" s="152">
        <f>G97</f>
        <v>371.68</v>
      </c>
    </row>
    <row r="96" spans="2:9">
      <c r="B96" s="150"/>
      <c r="C96" s="4"/>
      <c r="D96" s="3"/>
      <c r="E96" s="4"/>
      <c r="F96" s="153" t="s">
        <v>311</v>
      </c>
      <c r="G96" s="130">
        <f>4.1*29.5+40*2 + 3.55*29.5+33*2</f>
        <v>371.68</v>
      </c>
      <c r="H96" s="143"/>
      <c r="I96" s="152"/>
    </row>
    <row r="97" spans="2:9">
      <c r="B97" s="150"/>
      <c r="C97" s="4"/>
      <c r="D97" s="3"/>
      <c r="E97" s="4"/>
      <c r="F97" s="158" t="s">
        <v>116</v>
      </c>
      <c r="G97" s="53">
        <f>SUM(G96)</f>
        <v>371.68</v>
      </c>
      <c r="H97" s="143"/>
      <c r="I97" s="152"/>
    </row>
    <row r="98" spans="2:9" ht="22">
      <c r="B98" s="150"/>
      <c r="C98" s="4"/>
      <c r="D98" s="24" t="s">
        <v>53</v>
      </c>
      <c r="E98" s="23"/>
      <c r="F98" s="125" t="s">
        <v>54</v>
      </c>
      <c r="G98" s="137"/>
      <c r="H98" s="50" t="s">
        <v>11</v>
      </c>
      <c r="I98" s="138">
        <f>I99+I102</f>
        <v>4.5199999999999996</v>
      </c>
    </row>
    <row r="99" spans="2:9" ht="21.5">
      <c r="B99" s="150">
        <f>MAX($B$28:B98)+1</f>
        <v>17</v>
      </c>
      <c r="C99" s="4"/>
      <c r="D99" s="3"/>
      <c r="E99" s="4" t="s">
        <v>168</v>
      </c>
      <c r="F99" s="16" t="s">
        <v>169</v>
      </c>
      <c r="G99" s="151"/>
      <c r="H99" s="143" t="s">
        <v>11</v>
      </c>
      <c r="I99" s="152">
        <f>G101</f>
        <v>0.71</v>
      </c>
    </row>
    <row r="100" spans="2:9">
      <c r="B100" s="150"/>
      <c r="C100" s="4"/>
      <c r="D100" s="3"/>
      <c r="E100" s="4"/>
      <c r="F100" s="153" t="s">
        <v>312</v>
      </c>
      <c r="G100" s="130">
        <f>0.339+0.373</f>
        <v>0.71</v>
      </c>
      <c r="H100" s="143"/>
      <c r="I100" s="152"/>
    </row>
    <row r="101" spans="2:9">
      <c r="B101" s="150"/>
      <c r="C101" s="4"/>
      <c r="D101" s="3"/>
      <c r="E101" s="4"/>
      <c r="F101" s="158" t="s">
        <v>116</v>
      </c>
      <c r="G101" s="53">
        <f>SUM(G100)</f>
        <v>0.71</v>
      </c>
      <c r="H101" s="143"/>
      <c r="I101" s="152"/>
    </row>
    <row r="102" spans="2:9" ht="21.5">
      <c r="B102" s="150">
        <f>MAX($B$28:B101)+1</f>
        <v>18</v>
      </c>
      <c r="C102" s="4"/>
      <c r="D102" s="3"/>
      <c r="E102" s="4" t="s">
        <v>171</v>
      </c>
      <c r="F102" s="16" t="s">
        <v>172</v>
      </c>
      <c r="G102" s="151"/>
      <c r="H102" s="143" t="s">
        <v>11</v>
      </c>
      <c r="I102" s="152">
        <f>G104</f>
        <v>3.81</v>
      </c>
    </row>
    <row r="103" spans="2:9">
      <c r="B103" s="150"/>
      <c r="C103" s="4"/>
      <c r="D103" s="3"/>
      <c r="E103" s="4"/>
      <c r="F103" s="153" t="s">
        <v>313</v>
      </c>
      <c r="G103" s="130">
        <f>1.81+1.995</f>
        <v>3.81</v>
      </c>
      <c r="H103" s="143"/>
      <c r="I103" s="152"/>
    </row>
    <row r="104" spans="2:9">
      <c r="B104" s="150"/>
      <c r="C104" s="4"/>
      <c r="D104" s="3"/>
      <c r="E104" s="4"/>
      <c r="F104" s="158" t="s">
        <v>116</v>
      </c>
      <c r="G104" s="53">
        <f>SUM(G103)</f>
        <v>3.81</v>
      </c>
      <c r="H104" s="143"/>
      <c r="I104" s="152"/>
    </row>
    <row r="105" spans="2:9" ht="22">
      <c r="B105" s="150"/>
      <c r="C105" s="4"/>
      <c r="D105" s="24" t="s">
        <v>270</v>
      </c>
      <c r="E105" s="23"/>
      <c r="F105" s="125" t="s">
        <v>271</v>
      </c>
      <c r="G105" s="137"/>
      <c r="H105" s="50" t="s">
        <v>14</v>
      </c>
      <c r="I105" s="138">
        <f>SUM(I106)</f>
        <v>113</v>
      </c>
    </row>
    <row r="106" spans="2:9" ht="21.5">
      <c r="B106" s="150">
        <f>MAX($B$28:B105)+1</f>
        <v>19</v>
      </c>
      <c r="C106" s="4"/>
      <c r="D106" s="3"/>
      <c r="E106" s="4" t="s">
        <v>314</v>
      </c>
      <c r="F106" s="16" t="s">
        <v>315</v>
      </c>
      <c r="G106" s="151"/>
      <c r="H106" s="143" t="s">
        <v>14</v>
      </c>
      <c r="I106" s="152">
        <f>G108</f>
        <v>113</v>
      </c>
    </row>
    <row r="107" spans="2:9">
      <c r="B107" s="150"/>
      <c r="C107" s="4"/>
      <c r="D107" s="3"/>
      <c r="E107" s="4"/>
      <c r="F107" s="153" t="s">
        <v>316</v>
      </c>
      <c r="G107" s="130">
        <f>56.5*2</f>
        <v>113</v>
      </c>
      <c r="H107" s="143"/>
      <c r="I107" s="152"/>
    </row>
    <row r="108" spans="2:9">
      <c r="B108" s="150"/>
      <c r="C108" s="4"/>
      <c r="D108" s="3"/>
      <c r="E108" s="4"/>
      <c r="F108" s="158" t="s">
        <v>116</v>
      </c>
      <c r="G108" s="53">
        <f>SUM(G107)</f>
        <v>113</v>
      </c>
      <c r="H108" s="143"/>
      <c r="I108" s="152"/>
    </row>
    <row r="109" spans="2:9" ht="22">
      <c r="B109" s="150"/>
      <c r="C109" s="4"/>
      <c r="D109" s="24" t="s">
        <v>272</v>
      </c>
      <c r="E109" s="23"/>
      <c r="F109" s="125" t="s">
        <v>273</v>
      </c>
      <c r="G109" s="137"/>
      <c r="H109" s="50" t="s">
        <v>17</v>
      </c>
      <c r="I109" s="138">
        <f>SUM(I110)</f>
        <v>195.72</v>
      </c>
    </row>
    <row r="110" spans="2:9" ht="21.5">
      <c r="B110" s="150">
        <f>MAX($B$28:B109)+1</f>
        <v>20</v>
      </c>
      <c r="C110" s="4"/>
      <c r="D110" s="3"/>
      <c r="E110" s="4" t="s">
        <v>317</v>
      </c>
      <c r="F110" s="16" t="s">
        <v>318</v>
      </c>
      <c r="G110" s="151"/>
      <c r="H110" s="143" t="s">
        <v>17</v>
      </c>
      <c r="I110" s="152">
        <f>G112</f>
        <v>195.72</v>
      </c>
    </row>
    <row r="111" spans="2:9" ht="31.5">
      <c r="B111" s="150"/>
      <c r="C111" s="4"/>
      <c r="D111" s="3"/>
      <c r="E111" s="4"/>
      <c r="F111" s="153" t="s">
        <v>319</v>
      </c>
      <c r="G111" s="130">
        <f>(0.95+0.25+0.1+1.65)*(29.1+29.15)+(0.95+0.25+0.1)*(6.395+6.37)+0.96*1.65*4+0.25*(0.95*4)</f>
        <v>195.72</v>
      </c>
      <c r="H111" s="143"/>
      <c r="I111" s="152"/>
    </row>
    <row r="112" spans="2:9">
      <c r="B112" s="150"/>
      <c r="C112" s="4"/>
      <c r="D112" s="3"/>
      <c r="E112" s="4"/>
      <c r="F112" s="158" t="s">
        <v>116</v>
      </c>
      <c r="G112" s="53">
        <f>SUM(G111)</f>
        <v>195.72</v>
      </c>
      <c r="H112" s="143"/>
      <c r="I112" s="152"/>
    </row>
    <row r="113" spans="2:9" ht="22">
      <c r="B113" s="150"/>
      <c r="C113" s="4"/>
      <c r="D113" s="24" t="s">
        <v>274</v>
      </c>
      <c r="E113" s="23"/>
      <c r="F113" s="125" t="s">
        <v>275</v>
      </c>
      <c r="G113" s="137"/>
      <c r="H113" s="50" t="s">
        <v>11</v>
      </c>
      <c r="I113" s="138">
        <f>SUM(I114)</f>
        <v>12.25</v>
      </c>
    </row>
    <row r="114" spans="2:9" ht="21.5">
      <c r="B114" s="150">
        <f>MAX($B$28:B113)+1</f>
        <v>21</v>
      </c>
      <c r="C114" s="4"/>
      <c r="D114" s="3"/>
      <c r="E114" s="4" t="s">
        <v>320</v>
      </c>
      <c r="F114" s="16" t="s">
        <v>321</v>
      </c>
      <c r="G114" s="151"/>
      <c r="H114" s="143" t="s">
        <v>11</v>
      </c>
      <c r="I114" s="152">
        <f>G116</f>
        <v>12.25</v>
      </c>
    </row>
    <row r="115" spans="2:9">
      <c r="B115" s="150"/>
      <c r="C115" s="4"/>
      <c r="D115" s="3"/>
      <c r="E115" s="4"/>
      <c r="F115" s="153" t="s">
        <v>322</v>
      </c>
      <c r="G115" s="130">
        <f>6.03+0.091+6.04+0.091</f>
        <v>12.25</v>
      </c>
      <c r="I115" s="152"/>
    </row>
    <row r="116" spans="2:9">
      <c r="B116" s="150"/>
      <c r="C116" s="4"/>
      <c r="D116" s="3"/>
      <c r="E116" s="4"/>
      <c r="F116" s="158" t="s">
        <v>116</v>
      </c>
      <c r="G116" s="53">
        <f>SUM(G115)</f>
        <v>12.25</v>
      </c>
      <c r="H116" s="143"/>
      <c r="I116" s="152"/>
    </row>
    <row r="117" spans="2:9" ht="22">
      <c r="B117" s="150"/>
      <c r="C117" s="4"/>
      <c r="D117" s="207" t="s">
        <v>381</v>
      </c>
      <c r="E117" s="208"/>
      <c r="F117" s="206" t="s">
        <v>379</v>
      </c>
      <c r="G117" s="210"/>
      <c r="H117" s="211" t="s">
        <v>11</v>
      </c>
      <c r="I117" s="212">
        <f>SUM(I118)</f>
        <v>2.46</v>
      </c>
    </row>
    <row r="118" spans="2:9" ht="22">
      <c r="B118" s="150">
        <f>MAX($B$28:B117)+1</f>
        <v>22</v>
      </c>
      <c r="C118" s="4"/>
      <c r="D118" s="209"/>
      <c r="E118" s="204" t="s">
        <v>389</v>
      </c>
      <c r="F118" s="206" t="s">
        <v>388</v>
      </c>
      <c r="G118" s="213"/>
      <c r="H118" s="214" t="s">
        <v>11</v>
      </c>
      <c r="I118" s="215">
        <f>G120</f>
        <v>2.46</v>
      </c>
    </row>
    <row r="119" spans="2:9">
      <c r="B119" s="150"/>
      <c r="C119" s="4"/>
      <c r="D119" s="209"/>
      <c r="E119" s="204"/>
      <c r="F119" s="194" t="s">
        <v>391</v>
      </c>
      <c r="G119" s="216">
        <v>2.46</v>
      </c>
      <c r="H119" s="217"/>
      <c r="I119" s="215"/>
    </row>
    <row r="120" spans="2:9">
      <c r="B120" s="150"/>
      <c r="C120" s="4"/>
      <c r="D120" s="3"/>
      <c r="E120" s="4"/>
      <c r="F120" s="218" t="s">
        <v>116</v>
      </c>
      <c r="G120" s="219">
        <f>SUM(G119)</f>
        <v>2.46</v>
      </c>
      <c r="H120" s="214"/>
      <c r="I120" s="215"/>
    </row>
    <row r="121" spans="2:9" ht="22">
      <c r="B121" s="150"/>
      <c r="C121" s="4"/>
      <c r="D121" s="24" t="s">
        <v>276</v>
      </c>
      <c r="E121" s="23"/>
      <c r="F121" s="125" t="s">
        <v>277</v>
      </c>
      <c r="G121" s="137"/>
      <c r="H121" s="50" t="s">
        <v>17</v>
      </c>
      <c r="I121" s="138">
        <f>SUM(I122)</f>
        <v>56.45</v>
      </c>
    </row>
    <row r="122" spans="2:9" ht="21.5">
      <c r="B122" s="150">
        <f>MAX($B$28:B121)+1</f>
        <v>23</v>
      </c>
      <c r="C122" s="4"/>
      <c r="D122" s="3"/>
      <c r="E122" s="4" t="s">
        <v>323</v>
      </c>
      <c r="F122" s="16" t="s">
        <v>324</v>
      </c>
      <c r="G122" s="151"/>
      <c r="H122" s="143" t="s">
        <v>17</v>
      </c>
      <c r="I122" s="152">
        <f>G124</f>
        <v>56.45</v>
      </c>
    </row>
    <row r="123" spans="2:9">
      <c r="B123" s="150"/>
      <c r="C123" s="4"/>
      <c r="D123" s="3"/>
      <c r="E123" s="4"/>
      <c r="F123" s="153" t="s">
        <v>325</v>
      </c>
      <c r="G123" s="130">
        <f>0.56*4*0.35*72</f>
        <v>56.45</v>
      </c>
      <c r="H123" s="143"/>
      <c r="I123" s="152"/>
    </row>
    <row r="124" spans="2:9">
      <c r="B124" s="150"/>
      <c r="C124" s="4"/>
      <c r="D124" s="3"/>
      <c r="E124" s="4"/>
      <c r="F124" s="158" t="s">
        <v>116</v>
      </c>
      <c r="G124" s="53">
        <f>SUM(G123)</f>
        <v>56.45</v>
      </c>
      <c r="H124" s="143"/>
      <c r="I124" s="152"/>
    </row>
    <row r="125" spans="2:9">
      <c r="B125" s="150"/>
      <c r="C125" s="4"/>
      <c r="D125" s="207" t="s">
        <v>378</v>
      </c>
      <c r="E125" s="208"/>
      <c r="F125" s="206" t="s">
        <v>377</v>
      </c>
      <c r="G125" s="210"/>
      <c r="H125" s="211" t="s">
        <v>11</v>
      </c>
      <c r="I125" s="212">
        <f>SUM(I126)</f>
        <v>6.01</v>
      </c>
    </row>
    <row r="126" spans="2:9" ht="22">
      <c r="B126" s="150">
        <f>MAX($B$28:B125)+1</f>
        <v>24</v>
      </c>
      <c r="C126" s="4"/>
      <c r="D126" s="209"/>
      <c r="E126" s="204" t="s">
        <v>390</v>
      </c>
      <c r="F126" s="206" t="s">
        <v>387</v>
      </c>
      <c r="G126" s="213"/>
      <c r="H126" s="214" t="s">
        <v>11</v>
      </c>
      <c r="I126" s="215">
        <f>G128</f>
        <v>6.01</v>
      </c>
    </row>
    <row r="127" spans="2:9">
      <c r="B127" s="150"/>
      <c r="C127" s="4"/>
      <c r="D127" s="209"/>
      <c r="E127" s="204"/>
      <c r="F127" s="194" t="s">
        <v>380</v>
      </c>
      <c r="G127" s="216">
        <v>6.01</v>
      </c>
      <c r="H127" s="217"/>
      <c r="I127" s="215"/>
    </row>
    <row r="128" spans="2:9">
      <c r="B128" s="150"/>
      <c r="C128" s="4"/>
      <c r="D128" s="3"/>
      <c r="E128" s="4"/>
      <c r="F128" s="218" t="s">
        <v>116</v>
      </c>
      <c r="G128" s="219">
        <f>SUM(G127)</f>
        <v>6.01</v>
      </c>
      <c r="H128" s="214"/>
      <c r="I128" s="215"/>
    </row>
    <row r="129" spans="2:9">
      <c r="B129" s="150"/>
      <c r="C129" s="4"/>
      <c r="D129" s="24" t="s">
        <v>55</v>
      </c>
      <c r="E129" s="23"/>
      <c r="F129" s="125" t="s">
        <v>56</v>
      </c>
      <c r="G129" s="137"/>
      <c r="H129" s="50" t="s">
        <v>39</v>
      </c>
      <c r="I129" s="138">
        <f>SUM(I130)</f>
        <v>72</v>
      </c>
    </row>
    <row r="130" spans="2:9" ht="21.5">
      <c r="B130" s="150">
        <f>MAX($B$28:B129)+1</f>
        <v>25</v>
      </c>
      <c r="C130" s="4"/>
      <c r="D130" s="3"/>
      <c r="E130" s="4" t="s">
        <v>174</v>
      </c>
      <c r="F130" s="16" t="s">
        <v>175</v>
      </c>
      <c r="G130" s="151"/>
      <c r="H130" s="143" t="s">
        <v>39</v>
      </c>
      <c r="I130" s="152">
        <f>G134</f>
        <v>72</v>
      </c>
    </row>
    <row r="131" spans="2:9" ht="41.5">
      <c r="B131" s="150"/>
      <c r="C131" s="4"/>
      <c r="D131" s="3"/>
      <c r="E131" s="4"/>
      <c r="F131" s="153" t="s">
        <v>371</v>
      </c>
      <c r="G131" s="130">
        <v>6</v>
      </c>
      <c r="H131" s="143"/>
      <c r="I131" s="152"/>
    </row>
    <row r="132" spans="2:9" ht="41.5">
      <c r="B132" s="150"/>
      <c r="C132" s="4"/>
      <c r="D132" s="3"/>
      <c r="E132" s="4"/>
      <c r="F132" s="153" t="s">
        <v>372</v>
      </c>
      <c r="G132" s="130">
        <v>36</v>
      </c>
      <c r="H132" s="143"/>
      <c r="I132" s="152"/>
    </row>
    <row r="133" spans="2:9" ht="41.5">
      <c r="B133" s="150"/>
      <c r="C133" s="4"/>
      <c r="D133" s="3"/>
      <c r="E133" s="4"/>
      <c r="F133" s="153" t="s">
        <v>373</v>
      </c>
      <c r="G133" s="130">
        <v>30</v>
      </c>
      <c r="H133" s="143"/>
      <c r="I133" s="152"/>
    </row>
    <row r="134" spans="2:9">
      <c r="B134" s="150"/>
      <c r="C134" s="4"/>
      <c r="D134" s="3"/>
      <c r="E134" s="4"/>
      <c r="F134" s="158" t="s">
        <v>116</v>
      </c>
      <c r="G134" s="53">
        <f>SUM(G131:G133)</f>
        <v>72</v>
      </c>
      <c r="H134" s="143"/>
      <c r="I134" s="152"/>
    </row>
    <row r="135" spans="2:9">
      <c r="B135" s="150"/>
      <c r="C135" s="4"/>
      <c r="D135" s="24" t="s">
        <v>278</v>
      </c>
      <c r="E135" s="23"/>
      <c r="F135" s="125" t="s">
        <v>279</v>
      </c>
      <c r="G135" s="137"/>
      <c r="H135" s="50" t="s">
        <v>17</v>
      </c>
      <c r="I135" s="138">
        <f>SUM(I136)</f>
        <v>0.56999999999999995</v>
      </c>
    </row>
    <row r="136" spans="2:9" ht="21.5">
      <c r="B136" s="150">
        <f>MAX($B$28:B135)+1</f>
        <v>26</v>
      </c>
      <c r="C136" s="4"/>
      <c r="D136" s="3"/>
      <c r="E136" s="4" t="s">
        <v>326</v>
      </c>
      <c r="F136" s="16" t="s">
        <v>327</v>
      </c>
      <c r="G136" s="151"/>
      <c r="H136" s="143" t="s">
        <v>17</v>
      </c>
      <c r="I136" s="152">
        <f>G138</f>
        <v>0.56999999999999995</v>
      </c>
    </row>
    <row r="137" spans="2:9">
      <c r="B137" s="150"/>
      <c r="C137" s="4"/>
      <c r="D137" s="3"/>
      <c r="E137" s="4"/>
      <c r="F137" s="153" t="s">
        <v>328</v>
      </c>
      <c r="G137" s="130">
        <f>0.95*0.3*2</f>
        <v>0.56999999999999995</v>
      </c>
      <c r="H137" s="143"/>
      <c r="I137" s="152"/>
    </row>
    <row r="138" spans="2:9">
      <c r="B138" s="150"/>
      <c r="C138" s="4"/>
      <c r="D138" s="3"/>
      <c r="E138" s="4"/>
      <c r="F138" s="158" t="s">
        <v>116</v>
      </c>
      <c r="G138" s="53">
        <f>SUM(G137)</f>
        <v>0.56999999999999995</v>
      </c>
      <c r="H138" s="143"/>
      <c r="I138" s="152"/>
    </row>
    <row r="139" spans="2:9">
      <c r="B139" s="150"/>
      <c r="C139" s="4"/>
      <c r="D139" s="24" t="s">
        <v>57</v>
      </c>
      <c r="E139" s="23"/>
      <c r="F139" s="125" t="s">
        <v>58</v>
      </c>
      <c r="G139" s="137"/>
      <c r="H139" s="50" t="s">
        <v>14</v>
      </c>
      <c r="I139" s="138">
        <f>SUM(I140)</f>
        <v>618.20000000000005</v>
      </c>
    </row>
    <row r="140" spans="2:9">
      <c r="B140" s="150">
        <f>MAX($B$28:B139)+1</f>
        <v>27</v>
      </c>
      <c r="C140" s="4"/>
      <c r="D140" s="3"/>
      <c r="E140" s="4" t="s">
        <v>176</v>
      </c>
      <c r="F140" s="16" t="s">
        <v>177</v>
      </c>
      <c r="G140" s="151"/>
      <c r="H140" s="143" t="s">
        <v>14</v>
      </c>
      <c r="I140" s="152">
        <f>G142</f>
        <v>618.20000000000005</v>
      </c>
    </row>
    <row r="141" spans="2:9" ht="41.5">
      <c r="B141" s="150"/>
      <c r="C141" s="4"/>
      <c r="D141" s="3"/>
      <c r="E141" s="4"/>
      <c r="F141" s="194" t="s">
        <v>374</v>
      </c>
      <c r="G141" s="130">
        <f>(14.9+13.2)*2*5.5*2</f>
        <v>618.20000000000005</v>
      </c>
      <c r="H141" s="143"/>
      <c r="I141" s="152"/>
    </row>
    <row r="142" spans="2:9">
      <c r="B142" s="150"/>
      <c r="C142" s="4"/>
      <c r="D142" s="3"/>
      <c r="E142" s="4"/>
      <c r="F142" s="158" t="s">
        <v>116</v>
      </c>
      <c r="G142" s="53">
        <f>SUM(G141)</f>
        <v>618.20000000000005</v>
      </c>
      <c r="H142" s="143"/>
      <c r="I142" s="152"/>
    </row>
    <row r="143" spans="2:9" ht="24">
      <c r="B143" s="150"/>
      <c r="C143" s="12" t="s">
        <v>64</v>
      </c>
      <c r="D143" s="3"/>
      <c r="E143" s="4"/>
      <c r="F143" s="11" t="s">
        <v>180</v>
      </c>
      <c r="G143" s="15"/>
      <c r="H143" s="143"/>
      <c r="I143" s="152"/>
    </row>
    <row r="144" spans="2:9">
      <c r="B144" s="150"/>
      <c r="C144" s="4"/>
      <c r="D144" s="24" t="s">
        <v>181</v>
      </c>
      <c r="E144" s="23"/>
      <c r="F144" s="125" t="s">
        <v>182</v>
      </c>
      <c r="G144" s="137"/>
      <c r="H144" s="50" t="s">
        <v>14</v>
      </c>
      <c r="I144" s="138">
        <f>SUM(I145)</f>
        <v>35.130000000000003</v>
      </c>
    </row>
    <row r="145" spans="2:9">
      <c r="B145" s="150">
        <f>MAX($B$28:B144)+1</f>
        <v>28</v>
      </c>
      <c r="C145" s="4"/>
      <c r="D145" s="3"/>
      <c r="E145" s="4" t="s">
        <v>183</v>
      </c>
      <c r="F145" s="16" t="s">
        <v>182</v>
      </c>
      <c r="G145" s="151"/>
      <c r="H145" s="143" t="s">
        <v>14</v>
      </c>
      <c r="I145" s="152">
        <f>G147</f>
        <v>35.130000000000003</v>
      </c>
    </row>
    <row r="146" spans="2:9">
      <c r="B146" s="150"/>
      <c r="C146" s="4"/>
      <c r="D146" s="3"/>
      <c r="E146" s="4"/>
      <c r="F146" s="153" t="s">
        <v>329</v>
      </c>
      <c r="G146" s="130">
        <f>(14.9+13.2)*2.5*2*0.25</f>
        <v>35.130000000000003</v>
      </c>
      <c r="H146" s="7"/>
      <c r="I146" s="152"/>
    </row>
    <row r="147" spans="2:9">
      <c r="B147" s="150"/>
      <c r="C147" s="4"/>
      <c r="D147" s="3"/>
      <c r="E147" s="4"/>
      <c r="F147" s="158" t="s">
        <v>116</v>
      </c>
      <c r="G147" s="53">
        <f>SUM(G145:G146)</f>
        <v>35.130000000000003</v>
      </c>
      <c r="H147" s="7"/>
      <c r="I147" s="152"/>
    </row>
    <row r="148" spans="2:9" ht="22">
      <c r="B148" s="150"/>
      <c r="C148" s="4"/>
      <c r="D148" s="24" t="s">
        <v>62</v>
      </c>
      <c r="E148" s="23"/>
      <c r="F148" s="125" t="s">
        <v>63</v>
      </c>
      <c r="G148" s="137"/>
      <c r="H148" s="50" t="s">
        <v>17</v>
      </c>
      <c r="I148" s="138">
        <f>SUM(I149)</f>
        <v>140.5</v>
      </c>
    </row>
    <row r="149" spans="2:9" ht="21.5">
      <c r="B149" s="150">
        <f>MAX($B$28:B148)+1</f>
        <v>29</v>
      </c>
      <c r="C149" s="4"/>
      <c r="D149" s="3"/>
      <c r="E149" s="4" t="s">
        <v>185</v>
      </c>
      <c r="F149" s="16" t="s">
        <v>186</v>
      </c>
      <c r="G149" s="151"/>
      <c r="H149" s="143" t="s">
        <v>17</v>
      </c>
      <c r="I149" s="152">
        <f>G151</f>
        <v>140.5</v>
      </c>
    </row>
    <row r="150" spans="2:9" ht="21.5">
      <c r="B150" s="150"/>
      <c r="C150" s="4"/>
      <c r="D150" s="3"/>
      <c r="E150" s="4"/>
      <c r="F150" s="153" t="s">
        <v>330</v>
      </c>
      <c r="G150" s="130">
        <f>(14.9+13.2)*2.5*2</f>
        <v>140.5</v>
      </c>
      <c r="H150" s="7"/>
      <c r="I150" s="152"/>
    </row>
    <row r="151" spans="2:9">
      <c r="B151" s="150"/>
      <c r="C151" s="4"/>
      <c r="D151" s="3"/>
      <c r="E151" s="4"/>
      <c r="F151" s="158" t="s">
        <v>116</v>
      </c>
      <c r="G151" s="53">
        <f>SUM(G148:G150)</f>
        <v>140.5</v>
      </c>
      <c r="H151" s="7"/>
      <c r="I151" s="152"/>
    </row>
    <row r="152" spans="2:9">
      <c r="B152" s="150"/>
      <c r="C152" s="4"/>
      <c r="D152" s="24" t="s">
        <v>65</v>
      </c>
      <c r="E152" s="23"/>
      <c r="F152" s="125" t="s">
        <v>66</v>
      </c>
      <c r="G152" s="137"/>
      <c r="H152" s="50" t="s">
        <v>33</v>
      </c>
      <c r="I152" s="138">
        <f>SUM(I153)</f>
        <v>101.57</v>
      </c>
    </row>
    <row r="153" spans="2:9">
      <c r="B153" s="150">
        <f>MAX($B$28:B152)+1</f>
        <v>30</v>
      </c>
      <c r="C153" s="4"/>
      <c r="D153" s="3"/>
      <c r="E153" s="4" t="s">
        <v>188</v>
      </c>
      <c r="F153" s="16" t="s">
        <v>189</v>
      </c>
      <c r="G153" s="151"/>
      <c r="H153" s="143" t="s">
        <v>33</v>
      </c>
      <c r="I153" s="152">
        <f>G155</f>
        <v>101.57</v>
      </c>
    </row>
    <row r="154" spans="2:9" ht="31.5">
      <c r="B154" s="150"/>
      <c r="C154" s="4"/>
      <c r="D154" s="3"/>
      <c r="E154" s="4"/>
      <c r="F154" s="153" t="s">
        <v>331</v>
      </c>
      <c r="G154" s="130">
        <f>(7.39+3.8+2.34+29.94+0.77+7.435)+(5.61+3.8+2.34+29.94+0.77+7.435)</f>
        <v>101.57</v>
      </c>
      <c r="H154" s="7"/>
      <c r="I154" s="152"/>
    </row>
    <row r="155" spans="2:9">
      <c r="B155" s="150"/>
      <c r="C155" s="4"/>
      <c r="D155" s="3"/>
      <c r="E155" s="4"/>
      <c r="F155" s="158" t="s">
        <v>116</v>
      </c>
      <c r="G155" s="53">
        <f>SUM(G152:G154)</f>
        <v>101.57</v>
      </c>
      <c r="H155" s="7"/>
      <c r="I155" s="152"/>
    </row>
    <row r="156" spans="2:9">
      <c r="B156" s="150"/>
      <c r="C156" s="12" t="s">
        <v>106</v>
      </c>
      <c r="D156" s="3"/>
      <c r="E156" s="4"/>
      <c r="F156" s="11" t="s">
        <v>198</v>
      </c>
      <c r="G156" s="15"/>
      <c r="H156" s="143"/>
      <c r="I156" s="152"/>
    </row>
    <row r="157" spans="2:9" ht="22">
      <c r="B157" s="150"/>
      <c r="C157" s="4"/>
      <c r="D157" s="24" t="s">
        <v>107</v>
      </c>
      <c r="E157" s="23"/>
      <c r="F157" s="125" t="s">
        <v>108</v>
      </c>
      <c r="G157" s="137"/>
      <c r="H157" s="50" t="s">
        <v>17</v>
      </c>
      <c r="I157" s="138">
        <f>SUM(I158)</f>
        <v>50</v>
      </c>
    </row>
    <row r="158" spans="2:9" ht="21.5">
      <c r="B158" s="150">
        <f>MAX($B$28:B157)+1</f>
        <v>31</v>
      </c>
      <c r="C158" s="4"/>
      <c r="D158" s="3"/>
      <c r="E158" s="4" t="s">
        <v>199</v>
      </c>
      <c r="F158" s="16" t="s">
        <v>200</v>
      </c>
      <c r="G158" s="151"/>
      <c r="H158" s="143" t="s">
        <v>17</v>
      </c>
      <c r="I158" s="152">
        <f>G160</f>
        <v>50</v>
      </c>
    </row>
    <row r="159" spans="2:9">
      <c r="B159" s="150"/>
      <c r="C159" s="4"/>
      <c r="D159" s="3"/>
      <c r="E159" s="4"/>
      <c r="F159" s="153" t="s">
        <v>201</v>
      </c>
      <c r="G159" s="130">
        <f>50</f>
        <v>50</v>
      </c>
      <c r="H159" s="7"/>
      <c r="I159" s="152"/>
    </row>
    <row r="160" spans="2:9">
      <c r="B160" s="150"/>
      <c r="C160" s="4"/>
      <c r="D160" s="3"/>
      <c r="E160" s="4"/>
      <c r="F160" s="158" t="s">
        <v>116</v>
      </c>
      <c r="G160" s="53">
        <f>SUM(G157:G159)</f>
        <v>50</v>
      </c>
      <c r="H160" s="7"/>
      <c r="I160" s="152"/>
    </row>
    <row r="161" spans="2:9">
      <c r="B161" s="150"/>
      <c r="C161" s="12" t="s">
        <v>67</v>
      </c>
      <c r="D161" s="3"/>
      <c r="E161" s="4"/>
      <c r="F161" s="11" t="s">
        <v>202</v>
      </c>
      <c r="G161" s="15"/>
      <c r="H161" s="143"/>
      <c r="I161" s="152"/>
    </row>
    <row r="162" spans="2:9" ht="22">
      <c r="B162" s="150"/>
      <c r="C162" s="4"/>
      <c r="D162" s="24" t="s">
        <v>281</v>
      </c>
      <c r="E162" s="23"/>
      <c r="F162" s="125" t="s">
        <v>282</v>
      </c>
      <c r="G162" s="137"/>
      <c r="H162" s="50" t="s">
        <v>33</v>
      </c>
      <c r="I162" s="138">
        <f>I163+I167</f>
        <v>674.12</v>
      </c>
    </row>
    <row r="163" spans="2:9" ht="21.5">
      <c r="B163" s="150">
        <f>MAX($B$28:B162)+1</f>
        <v>32</v>
      </c>
      <c r="C163" s="4"/>
      <c r="D163" s="3"/>
      <c r="E163" s="4" t="s">
        <v>332</v>
      </c>
      <c r="F163" s="16" t="s">
        <v>333</v>
      </c>
      <c r="G163" s="151"/>
      <c r="H163" s="143"/>
      <c r="I163" s="152">
        <f>G166</f>
        <v>637.46</v>
      </c>
    </row>
    <row r="164" spans="2:9" ht="21.5">
      <c r="B164" s="150"/>
      <c r="C164" s="4"/>
      <c r="D164" s="3"/>
      <c r="E164" s="49"/>
      <c r="F164" s="153" t="s">
        <v>334</v>
      </c>
      <c r="G164" s="155">
        <f>1022*0.21</f>
        <v>214.62</v>
      </c>
      <c r="H164" s="143"/>
      <c r="I164" s="152"/>
    </row>
    <row r="165" spans="2:9" ht="21.5">
      <c r="B165" s="150"/>
      <c r="C165" s="4"/>
      <c r="D165" s="3"/>
      <c r="E165" s="49"/>
      <c r="F165" s="153" t="s">
        <v>335</v>
      </c>
      <c r="G165" s="155">
        <f>3844*0.11</f>
        <v>422.84</v>
      </c>
      <c r="H165" s="143"/>
      <c r="I165" s="152"/>
    </row>
    <row r="166" spans="2:9">
      <c r="B166" s="150"/>
      <c r="C166" s="4"/>
      <c r="D166" s="3"/>
      <c r="E166" s="49"/>
      <c r="F166" s="154" t="s">
        <v>116</v>
      </c>
      <c r="G166" s="53">
        <f>SUM(G164:G165)</f>
        <v>637.46</v>
      </c>
      <c r="H166" s="143"/>
      <c r="I166" s="152"/>
    </row>
    <row r="167" spans="2:9" ht="21.5">
      <c r="B167" s="150">
        <f>MAX($B$28:B166)+1</f>
        <v>33</v>
      </c>
      <c r="C167" s="4"/>
      <c r="D167" s="3"/>
      <c r="E167" s="4" t="s">
        <v>336</v>
      </c>
      <c r="F167" s="16" t="s">
        <v>337</v>
      </c>
      <c r="G167" s="15"/>
      <c r="H167" s="143" t="s">
        <v>33</v>
      </c>
      <c r="I167" s="152">
        <f>G169</f>
        <v>36.659999999999997</v>
      </c>
    </row>
    <row r="168" spans="2:9" ht="21.5">
      <c r="B168" s="150"/>
      <c r="C168" s="4"/>
      <c r="D168" s="3"/>
      <c r="E168" s="5"/>
      <c r="F168" s="153" t="s">
        <v>338</v>
      </c>
      <c r="G168" s="155">
        <f>78*0.47</f>
        <v>36.659999999999997</v>
      </c>
      <c r="H168" s="143"/>
      <c r="I168" s="152"/>
    </row>
    <row r="169" spans="2:9">
      <c r="B169" s="150"/>
      <c r="C169" s="4"/>
      <c r="D169" s="3"/>
      <c r="E169" s="49"/>
      <c r="F169" s="154" t="s">
        <v>116</v>
      </c>
      <c r="G169" s="53">
        <f>SUM(G167:G168)</f>
        <v>36.659999999999997</v>
      </c>
      <c r="H169" s="143"/>
      <c r="I169" s="152"/>
    </row>
    <row r="170" spans="2:9">
      <c r="B170" s="150"/>
      <c r="C170" s="4"/>
      <c r="D170" s="3"/>
      <c r="E170" s="5"/>
      <c r="F170" s="160"/>
      <c r="G170" s="15"/>
      <c r="H170" s="143"/>
      <c r="I170" s="152"/>
    </row>
    <row r="171" spans="2:9">
      <c r="B171" s="150"/>
      <c r="C171" s="4"/>
      <c r="D171" s="24" t="s">
        <v>339</v>
      </c>
      <c r="E171" s="23"/>
      <c r="F171" s="125" t="s">
        <v>340</v>
      </c>
      <c r="G171" s="137"/>
      <c r="H171" s="50" t="s">
        <v>39</v>
      </c>
      <c r="I171" s="138">
        <f>SUM(I172)</f>
        <v>4944</v>
      </c>
    </row>
    <row r="172" spans="2:9">
      <c r="B172" s="150">
        <f>MAX($B$28:B171)+1</f>
        <v>34</v>
      </c>
      <c r="C172" s="4"/>
      <c r="D172" s="3"/>
      <c r="E172" s="4" t="s">
        <v>208</v>
      </c>
      <c r="F172" s="16" t="s">
        <v>209</v>
      </c>
      <c r="G172" s="151"/>
      <c r="H172" s="143" t="s">
        <v>39</v>
      </c>
      <c r="I172" s="152">
        <f>G176</f>
        <v>4944</v>
      </c>
    </row>
    <row r="173" spans="2:9" ht="21.5">
      <c r="B173" s="150"/>
      <c r="C173" s="4"/>
      <c r="D173" s="3"/>
      <c r="E173" s="4"/>
      <c r="F173" s="153" t="s">
        <v>375</v>
      </c>
      <c r="G173" s="155">
        <f>1022</f>
        <v>1022</v>
      </c>
      <c r="H173" s="143"/>
      <c r="I173" s="152"/>
    </row>
    <row r="174" spans="2:9" ht="21.5">
      <c r="B174" s="150"/>
      <c r="C174" s="4"/>
      <c r="D174" s="3"/>
      <c r="E174" s="4"/>
      <c r="F174" s="153" t="s">
        <v>341</v>
      </c>
      <c r="G174" s="155">
        <f>3844</f>
        <v>3844</v>
      </c>
      <c r="H174" s="143"/>
      <c r="I174" s="152"/>
    </row>
    <row r="175" spans="2:9" ht="21.5">
      <c r="B175" s="150"/>
      <c r="C175" s="4"/>
      <c r="D175" s="3"/>
      <c r="E175" s="4"/>
      <c r="F175" s="153" t="s">
        <v>342</v>
      </c>
      <c r="G175" s="155">
        <f>78</f>
        <v>78</v>
      </c>
      <c r="H175" s="143"/>
      <c r="I175" s="152"/>
    </row>
    <row r="176" spans="2:9">
      <c r="B176" s="150"/>
      <c r="C176" s="4"/>
      <c r="D176" s="3"/>
      <c r="E176" s="4"/>
      <c r="F176" s="154" t="s">
        <v>116</v>
      </c>
      <c r="G176" s="53">
        <f>SUM(G173:G175)</f>
        <v>4944</v>
      </c>
      <c r="H176" s="143"/>
      <c r="I176" s="152"/>
    </row>
    <row r="177" spans="2:9">
      <c r="B177" s="150"/>
      <c r="C177" s="4"/>
      <c r="D177" s="24" t="s">
        <v>211</v>
      </c>
      <c r="E177" s="23"/>
      <c r="F177" s="125" t="s">
        <v>212</v>
      </c>
      <c r="G177" s="137"/>
      <c r="H177" s="50" t="s">
        <v>17</v>
      </c>
      <c r="I177" s="138">
        <f>SUM(I178)</f>
        <v>371.68</v>
      </c>
    </row>
    <row r="178" spans="2:9">
      <c r="B178" s="150">
        <f>MAX($B$28:B177)+1</f>
        <v>35</v>
      </c>
      <c r="C178" s="4"/>
      <c r="D178" s="3"/>
      <c r="E178" s="4" t="s">
        <v>343</v>
      </c>
      <c r="F178" s="16" t="s">
        <v>344</v>
      </c>
      <c r="G178" s="151"/>
      <c r="H178" s="143" t="s">
        <v>17</v>
      </c>
      <c r="I178" s="152">
        <f>G180</f>
        <v>371.68</v>
      </c>
    </row>
    <row r="179" spans="2:9" ht="21.5">
      <c r="B179" s="150"/>
      <c r="C179" s="4"/>
      <c r="D179" s="3"/>
      <c r="E179" s="4"/>
      <c r="F179" s="153" t="s">
        <v>345</v>
      </c>
      <c r="G179" s="155">
        <f>4.1*29.5+40*2 + 3.55*29.5+33*2</f>
        <v>371.68</v>
      </c>
      <c r="H179" s="143"/>
      <c r="I179" s="152"/>
    </row>
    <row r="180" spans="2:9">
      <c r="B180" s="150"/>
      <c r="C180" s="4"/>
      <c r="D180" s="3"/>
      <c r="E180" s="4"/>
      <c r="F180" s="154" t="s">
        <v>116</v>
      </c>
      <c r="G180" s="53">
        <f>SUM(G179)</f>
        <v>371.68</v>
      </c>
      <c r="H180" s="143"/>
      <c r="I180" s="152"/>
    </row>
    <row r="181" spans="2:9">
      <c r="B181" s="150"/>
      <c r="C181" s="12" t="s">
        <v>77</v>
      </c>
      <c r="D181" s="3"/>
      <c r="E181" s="4"/>
      <c r="F181" s="11" t="s">
        <v>216</v>
      </c>
      <c r="G181" s="15"/>
      <c r="H181" s="143"/>
      <c r="I181" s="152"/>
    </row>
    <row r="182" spans="2:9">
      <c r="B182" s="150"/>
      <c r="C182" s="4"/>
      <c r="D182" s="24" t="s">
        <v>78</v>
      </c>
      <c r="E182" s="23"/>
      <c r="F182" s="125" t="s">
        <v>79</v>
      </c>
      <c r="G182" s="137"/>
      <c r="H182" s="50" t="s">
        <v>14</v>
      </c>
      <c r="I182" s="138">
        <f>SUM(I183)</f>
        <v>8.6999999999999993</v>
      </c>
    </row>
    <row r="183" spans="2:9">
      <c r="B183" s="150">
        <f>MAX($B$28:B182)+1</f>
        <v>36</v>
      </c>
      <c r="C183" s="4"/>
      <c r="D183" s="3"/>
      <c r="E183" s="204" t="s">
        <v>383</v>
      </c>
      <c r="F183" s="205" t="s">
        <v>384</v>
      </c>
      <c r="G183" s="151"/>
      <c r="H183" s="143" t="s">
        <v>14</v>
      </c>
      <c r="I183" s="152">
        <f>G185</f>
        <v>8.6999999999999993</v>
      </c>
    </row>
    <row r="184" spans="2:9">
      <c r="B184" s="150"/>
      <c r="C184" s="4"/>
      <c r="D184" s="3"/>
      <c r="E184" s="4"/>
      <c r="F184" s="153" t="s">
        <v>385</v>
      </c>
      <c r="G184" s="155">
        <f>(2.6+2.4 +2.4+2)*(0.75+0.175)</f>
        <v>8.6999999999999993</v>
      </c>
      <c r="H184" s="143"/>
      <c r="I184" s="152"/>
    </row>
    <row r="185" spans="2:9">
      <c r="B185" s="150"/>
      <c r="C185" s="4"/>
      <c r="D185" s="3"/>
      <c r="E185" s="4"/>
      <c r="F185" s="154" t="s">
        <v>116</v>
      </c>
      <c r="G185" s="53">
        <f>SUM(G184)</f>
        <v>8.6999999999999993</v>
      </c>
      <c r="H185" s="143"/>
      <c r="I185" s="152"/>
    </row>
    <row r="186" spans="2:9">
      <c r="B186" s="150"/>
      <c r="C186" s="4"/>
      <c r="D186" s="24" t="s">
        <v>80</v>
      </c>
      <c r="E186" s="23"/>
      <c r="F186" s="125" t="s">
        <v>81</v>
      </c>
      <c r="G186" s="137"/>
      <c r="H186" s="50" t="s">
        <v>17</v>
      </c>
      <c r="I186" s="138">
        <f>SUM(I187)</f>
        <v>36.520000000000003</v>
      </c>
    </row>
    <row r="187" spans="2:9">
      <c r="B187" s="150">
        <f>MAX($B$28:B186)+1</f>
        <v>37</v>
      </c>
      <c r="C187" s="4"/>
      <c r="D187" s="3"/>
      <c r="E187" s="4" t="s">
        <v>217</v>
      </c>
      <c r="F187" s="16" t="s">
        <v>218</v>
      </c>
      <c r="G187" s="151"/>
      <c r="H187" s="143" t="s">
        <v>17</v>
      </c>
      <c r="I187" s="152">
        <f>G189</f>
        <v>36.520000000000003</v>
      </c>
    </row>
    <row r="188" spans="2:9" ht="31.5">
      <c r="B188" s="150"/>
      <c r="C188" s="4"/>
      <c r="D188" s="3"/>
      <c r="E188" s="4"/>
      <c r="F188" s="153" t="s">
        <v>346</v>
      </c>
      <c r="G188" s="155">
        <f>(4.15+0.8+0.81)*0.75+(4.76+0.5+0.8)*0.75+(4.15+0.8+0.8)*0.75+(4.76+0.5+0.8)*0.75+(2.6+2.4 +2.4+2)*2</f>
        <v>36.520000000000003</v>
      </c>
      <c r="H188" s="143"/>
      <c r="I188" s="152"/>
    </row>
    <row r="189" spans="2:9">
      <c r="B189" s="150"/>
      <c r="C189" s="4"/>
      <c r="D189" s="3"/>
      <c r="E189" s="4"/>
      <c r="F189" s="154" t="s">
        <v>116</v>
      </c>
      <c r="G189" s="53">
        <f>SUM(G188)</f>
        <v>36.520000000000003</v>
      </c>
      <c r="H189" s="143"/>
      <c r="I189" s="152"/>
    </row>
    <row r="190" spans="2:9">
      <c r="B190" s="150"/>
      <c r="C190" s="4"/>
      <c r="D190" s="24" t="s">
        <v>82</v>
      </c>
      <c r="E190" s="23"/>
      <c r="F190" s="125" t="s">
        <v>83</v>
      </c>
      <c r="G190" s="137"/>
      <c r="H190" s="50" t="s">
        <v>11</v>
      </c>
      <c r="I190" s="138">
        <f>SUM(I191)</f>
        <v>0.31</v>
      </c>
    </row>
    <row r="191" spans="2:9" ht="21.5">
      <c r="B191" s="150">
        <f>MAX($B$28:B190)+1</f>
        <v>38</v>
      </c>
      <c r="C191" s="4"/>
      <c r="D191" s="3"/>
      <c r="E191" s="4" t="s">
        <v>347</v>
      </c>
      <c r="F191" s="16" t="s">
        <v>220</v>
      </c>
      <c r="G191" s="151"/>
      <c r="H191" s="143" t="s">
        <v>11</v>
      </c>
      <c r="I191" s="152">
        <f>G193</f>
        <v>0.31</v>
      </c>
    </row>
    <row r="192" spans="2:9">
      <c r="B192" s="150"/>
      <c r="C192" s="4"/>
      <c r="D192" s="3"/>
      <c r="E192" s="4"/>
      <c r="F192" s="153" t="s">
        <v>348</v>
      </c>
      <c r="G192" s="155">
        <f>0.308</f>
        <v>0.31</v>
      </c>
      <c r="H192" s="143"/>
      <c r="I192" s="152"/>
    </row>
    <row r="193" spans="2:9">
      <c r="B193" s="150"/>
      <c r="C193" s="4"/>
      <c r="D193" s="24"/>
      <c r="E193" s="4"/>
      <c r="F193" s="154" t="s">
        <v>116</v>
      </c>
      <c r="G193" s="53">
        <f>SUM(G192)</f>
        <v>0.31</v>
      </c>
      <c r="H193" s="143"/>
      <c r="I193" s="152"/>
    </row>
    <row r="194" spans="2:9">
      <c r="B194" s="150"/>
      <c r="C194" s="4"/>
      <c r="D194" s="24" t="s">
        <v>84</v>
      </c>
      <c r="E194" s="23"/>
      <c r="F194" s="125" t="s">
        <v>85</v>
      </c>
      <c r="G194" s="137"/>
      <c r="H194" s="50" t="s">
        <v>14</v>
      </c>
      <c r="I194" s="138">
        <f>SUM(I195)</f>
        <v>8.5</v>
      </c>
    </row>
    <row r="195" spans="2:9">
      <c r="B195" s="150">
        <f>MAX($B$28:B194)+1</f>
        <v>39</v>
      </c>
      <c r="C195" s="4"/>
      <c r="D195" s="3"/>
      <c r="E195" s="4" t="s">
        <v>222</v>
      </c>
      <c r="F195" s="16" t="s">
        <v>85</v>
      </c>
      <c r="G195" s="151"/>
      <c r="H195" s="143" t="s">
        <v>14</v>
      </c>
      <c r="I195" s="152">
        <f>G197</f>
        <v>8.5</v>
      </c>
    </row>
    <row r="196" spans="2:9">
      <c r="B196" s="150"/>
      <c r="C196" s="4"/>
      <c r="D196" s="3"/>
      <c r="E196" s="4"/>
      <c r="F196" s="153" t="s">
        <v>349</v>
      </c>
      <c r="G196" s="155">
        <f>(1.9+2.2+2.2+2.2)*1</f>
        <v>8.5</v>
      </c>
      <c r="H196" s="143"/>
      <c r="I196" s="152"/>
    </row>
    <row r="197" spans="2:9">
      <c r="B197" s="161"/>
      <c r="C197" s="31"/>
      <c r="D197" s="30"/>
      <c r="E197" s="31"/>
      <c r="F197" s="162" t="s">
        <v>116</v>
      </c>
      <c r="G197" s="57">
        <f>SUM(G196)</f>
        <v>8.5</v>
      </c>
      <c r="H197" s="163"/>
      <c r="I197" s="164"/>
    </row>
  </sheetData>
  <sheetProtection algorithmName="SHA-512" hashValue="NbhqCCbQKG5CvntDmv27jWivY3dRvCZeHyi5YE9CMPTKbD4vBqRVuj9GYI6+AOQwpKfyJP4d1XIlzgjFvWu/gQ==" saltValue="Gqlj37rNiamjYNwqSY5PdA==" spinCount="100000" sheet="1" objects="1" scenarios="1"/>
  <mergeCells count="4">
    <mergeCell ref="B5:F5"/>
    <mergeCell ref="B6:I6"/>
    <mergeCell ref="D7:E7"/>
    <mergeCell ref="B27:I27"/>
  </mergeCells>
  <pageMargins left="0.25" right="0.25" top="0.75" bottom="0.75" header="0.3" footer="0.3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E37"/>
  <sheetViews>
    <sheetView zoomScaleNormal="100" workbookViewId="0">
      <selection activeCell="K29" sqref="K29"/>
    </sheetView>
  </sheetViews>
  <sheetFormatPr defaultColWidth="9.1796875" defaultRowHeight="14.5"/>
  <cols>
    <col min="1" max="1" width="1.7265625" style="70" customWidth="1"/>
    <col min="2" max="2" width="35.7265625" style="70" customWidth="1"/>
    <col min="3" max="5" width="26.7265625" style="70" customWidth="1"/>
    <col min="6" max="16384" width="9.1796875" style="70"/>
  </cols>
  <sheetData>
    <row r="1" spans="2:5">
      <c r="E1" s="74" t="s">
        <v>361</v>
      </c>
    </row>
    <row r="2" spans="2:5">
      <c r="E2" s="187"/>
    </row>
    <row r="4" spans="2:5" ht="18.5">
      <c r="B4" s="249" t="s">
        <v>242</v>
      </c>
      <c r="C4" s="249"/>
      <c r="D4" s="249"/>
      <c r="E4" s="249"/>
    </row>
    <row r="5" spans="2:5">
      <c r="B5" s="250" t="s">
        <v>243</v>
      </c>
      <c r="C5" s="250"/>
      <c r="D5" s="250"/>
    </row>
    <row r="6" spans="2:5">
      <c r="B6" s="188" t="s">
        <v>365</v>
      </c>
      <c r="C6" s="98"/>
      <c r="D6" s="98"/>
    </row>
    <row r="7" spans="2:5">
      <c r="B7" s="98"/>
      <c r="C7" s="98"/>
      <c r="D7" s="98"/>
    </row>
    <row r="8" spans="2:5">
      <c r="B8" s="110"/>
      <c r="C8" s="74"/>
      <c r="D8" s="74"/>
    </row>
    <row r="9" spans="2:5" ht="15" thickBot="1">
      <c r="B9" s="99" t="s">
        <v>244</v>
      </c>
      <c r="D9" s="74"/>
    </row>
    <row r="10" spans="2:5">
      <c r="B10" s="100" t="s">
        <v>245</v>
      </c>
      <c r="C10" s="251"/>
      <c r="D10" s="252"/>
    </row>
    <row r="11" spans="2:5">
      <c r="B11" s="101" t="s">
        <v>246</v>
      </c>
      <c r="C11" s="253"/>
      <c r="D11" s="254"/>
    </row>
    <row r="12" spans="2:5" ht="18" customHeight="1">
      <c r="B12" s="101" t="s">
        <v>247</v>
      </c>
      <c r="C12" s="253"/>
      <c r="D12" s="254"/>
    </row>
    <row r="13" spans="2:5">
      <c r="B13" s="101" t="s">
        <v>248</v>
      </c>
      <c r="C13" s="253"/>
      <c r="D13" s="254"/>
    </row>
    <row r="14" spans="2:5" ht="18" customHeight="1">
      <c r="B14" s="101" t="s">
        <v>249</v>
      </c>
      <c r="C14" s="253"/>
      <c r="D14" s="254"/>
    </row>
    <row r="15" spans="2:5" ht="15" thickBot="1">
      <c r="B15" s="102" t="s">
        <v>250</v>
      </c>
      <c r="C15" s="255"/>
      <c r="D15" s="256"/>
    </row>
    <row r="17" spans="2:5">
      <c r="B17" s="103" t="s">
        <v>251</v>
      </c>
      <c r="C17" s="104"/>
      <c r="D17" s="104"/>
    </row>
    <row r="18" spans="2:5" ht="45.5">
      <c r="B18" s="189" t="s">
        <v>252</v>
      </c>
      <c r="C18" s="190" t="s">
        <v>359</v>
      </c>
      <c r="D18" s="189" t="s">
        <v>253</v>
      </c>
      <c r="E18" s="189" t="s">
        <v>254</v>
      </c>
    </row>
    <row r="19" spans="2:5" ht="43.5">
      <c r="B19" s="192" t="s">
        <v>362</v>
      </c>
      <c r="C19" s="180">
        <f>'1.časť_B.2_Rekapitulácia stavby'!E15</f>
        <v>0</v>
      </c>
      <c r="D19" s="105">
        <f>ROUND(C19*0.23,2)</f>
        <v>0</v>
      </c>
      <c r="E19" s="105">
        <f>ROUND(C19+D19,2)</f>
        <v>0</v>
      </c>
    </row>
    <row r="20" spans="2:5">
      <c r="B20" s="106"/>
      <c r="C20" s="107"/>
      <c r="D20" s="107"/>
    </row>
    <row r="21" spans="2:5" ht="16.5">
      <c r="B21" s="103" t="s">
        <v>255</v>
      </c>
      <c r="C21" s="104"/>
      <c r="D21" s="104"/>
    </row>
    <row r="22" spans="2:5">
      <c r="B22" s="191" t="s">
        <v>256</v>
      </c>
      <c r="C22" s="104"/>
      <c r="D22" s="104"/>
    </row>
    <row r="23" spans="2:5">
      <c r="B23" s="222"/>
      <c r="C23" s="223"/>
      <c r="D23" s="223"/>
    </row>
    <row r="24" spans="2:5" ht="22" customHeight="1">
      <c r="B24" s="67" t="s">
        <v>240</v>
      </c>
      <c r="C24" s="223"/>
      <c r="D24" s="223"/>
    </row>
    <row r="25" spans="2:5">
      <c r="B25" s="223"/>
      <c r="C25" s="233" t="s">
        <v>237</v>
      </c>
      <c r="D25" s="233"/>
    </row>
    <row r="26" spans="2:5">
      <c r="B26" s="223"/>
      <c r="C26" s="233" t="s">
        <v>238</v>
      </c>
      <c r="D26" s="233"/>
    </row>
    <row r="27" spans="2:5">
      <c r="B27" s="223"/>
      <c r="C27" s="233" t="s">
        <v>239</v>
      </c>
      <c r="D27" s="233"/>
    </row>
    <row r="28" spans="2:5" ht="16.5">
      <c r="B28" s="224"/>
      <c r="C28" s="221"/>
      <c r="D28" s="221"/>
    </row>
    <row r="29" spans="2:5" ht="16.5">
      <c r="B29" s="224" t="s">
        <v>257</v>
      </c>
      <c r="C29" s="221"/>
      <c r="D29" s="221"/>
    </row>
    <row r="30" spans="2:5" ht="16.5">
      <c r="B30" s="109"/>
    </row>
    <row r="31" spans="2:5" hidden="1">
      <c r="B31" s="108" t="s">
        <v>256</v>
      </c>
    </row>
    <row r="32" spans="2:5" hidden="1">
      <c r="B32" s="108" t="s">
        <v>258</v>
      </c>
    </row>
    <row r="36" spans="2:2" ht="16.5">
      <c r="B36" s="109"/>
    </row>
    <row r="37" spans="2:2" ht="16.5">
      <c r="B37" s="109"/>
    </row>
  </sheetData>
  <sheetProtection algorithmName="SHA-512" hashValue="axzpxvHBYIbTpnKdCQQVeW+pIsO0bVHA7gOYkE8XmERth7vyEg4phKHxQPKiRlEWAQwzjV4sqK2UPl3RiDE1+Q==" saltValue="WumeHeZiwwtwHwjCMrKESQ==" spinCount="100000" sheet="1" objects="1" scenarios="1"/>
  <mergeCells count="11">
    <mergeCell ref="C27:D27"/>
    <mergeCell ref="B4:E4"/>
    <mergeCell ref="B5:D5"/>
    <mergeCell ref="C10:D10"/>
    <mergeCell ref="C11:D11"/>
    <mergeCell ref="C12:D12"/>
    <mergeCell ref="C13:D13"/>
    <mergeCell ref="C14:D14"/>
    <mergeCell ref="C15:D15"/>
    <mergeCell ref="C25:D25"/>
    <mergeCell ref="C26:D26"/>
  </mergeCells>
  <dataValidations count="1">
    <dataValidation type="list" allowBlank="1" showInputMessage="1" showErrorMessage="1" sqref="B22" xr:uid="{00000000-0002-0000-0700-000000000000}">
      <formula1>$B$31:$B$32</formula1>
    </dataValidation>
  </dataValidation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1.časť_B.2_Rekapitulácia stavby</vt:lpstr>
      <vt:lpstr>1.časť_B.2_Súpis prác_D1-329 </vt:lpstr>
      <vt:lpstr>1.časť_B.2_Časti stavby_D1-329</vt:lpstr>
      <vt:lpstr>1.časť_B.2_Podrobný VV_D1-329 </vt:lpstr>
      <vt:lpstr>1.časť_B.2_Súpis prác_D1-332 </vt:lpstr>
      <vt:lpstr>1.časť_B.2_Časti stavby_D1-332</vt:lpstr>
      <vt:lpstr>1.časť_B.2_Podrobný VV_D1-332 </vt:lpstr>
      <vt:lpstr>A.2_Návrh na pl kritéria_1.časť</vt:lpstr>
      <vt:lpstr>'1.časť_B.2_Časti stavby_D1-332'!Oblasť_tlače</vt:lpstr>
      <vt:lpstr>'1.časť_B.2_Podrobný VV_D1-329 '!Oblasť_tlače</vt:lpstr>
      <vt:lpstr>'1.časť_B.2_Podrobný VV_D1-332 '!Oblasť_tlače</vt:lpstr>
      <vt:lpstr>'1.časť_B.2_Súpis prác_D1-329 '!Oblasť_tlače</vt:lpstr>
      <vt:lpstr>'1.časť_B.2_Súpis prác_D1-332 '!Oblasť_tlače</vt:lpstr>
      <vt:lpstr>'A.2_Návrh na pl kritéria_1.časť'!Oblasť_tlače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2025-10-27T07:55:09Z</cp:lastPrinted>
  <dcterms:created xsi:type="dcterms:W3CDTF">2022-09-01T17:35:29Z</dcterms:created>
  <dcterms:modified xsi:type="dcterms:W3CDTF">2025-10-27T07:55:53Z</dcterms:modified>
</cp:coreProperties>
</file>