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10" yWindow="225" windowWidth="21255" windowHeight="10455"/>
  </bookViews>
  <sheets>
    <sheet name="Stavební rozpočet" sheetId="1" r:id="rId1"/>
  </sheets>
  <calcPr calcId="145621"/>
</workbook>
</file>

<file path=xl/calcChain.xml><?xml version="1.0" encoding="utf-8"?>
<calcChain xmlns="http://schemas.openxmlformats.org/spreadsheetml/2006/main">
  <c r="AF53" i="1" l="1"/>
  <c r="AE53" i="1"/>
  <c r="H53" i="1" s="1"/>
  <c r="AB53" i="1"/>
  <c r="Z53" i="1"/>
  <c r="O53" i="1"/>
  <c r="L53" i="1"/>
  <c r="J53" i="1"/>
  <c r="AF54" i="1"/>
  <c r="AE54" i="1"/>
  <c r="H54" i="1" s="1"/>
  <c r="AB54" i="1"/>
  <c r="Z54" i="1"/>
  <c r="O54" i="1"/>
  <c r="L54" i="1"/>
  <c r="J54" i="1"/>
  <c r="AA54" i="1" s="1"/>
  <c r="J55" i="1"/>
  <c r="AA55" i="1"/>
  <c r="L55" i="1"/>
  <c r="O55" i="1"/>
  <c r="Z55" i="1"/>
  <c r="AB55" i="1"/>
  <c r="AE55" i="1"/>
  <c r="H55" i="1" s="1"/>
  <c r="I55" i="1" s="1"/>
  <c r="AF55" i="1"/>
  <c r="J56" i="1"/>
  <c r="AA56" i="1" s="1"/>
  <c r="L56" i="1"/>
  <c r="O56" i="1"/>
  <c r="Z56" i="1"/>
  <c r="AB56" i="1"/>
  <c r="AE56" i="1"/>
  <c r="H56" i="1" s="1"/>
  <c r="I56" i="1" s="1"/>
  <c r="AF56" i="1"/>
  <c r="J76" i="1"/>
  <c r="L32" i="1"/>
  <c r="F23" i="1"/>
  <c r="AF33" i="1"/>
  <c r="AE33" i="1"/>
  <c r="H33" i="1" s="1"/>
  <c r="AB33" i="1"/>
  <c r="Z33" i="1"/>
  <c r="O33" i="1"/>
  <c r="L33" i="1"/>
  <c r="J33" i="1"/>
  <c r="AF32" i="1"/>
  <c r="AE32" i="1"/>
  <c r="H32" i="1" s="1"/>
  <c r="AB32" i="1"/>
  <c r="Z32" i="1"/>
  <c r="O32" i="1"/>
  <c r="AF29" i="1"/>
  <c r="AE29" i="1"/>
  <c r="H29" i="1" s="1"/>
  <c r="AB29" i="1"/>
  <c r="Z29" i="1"/>
  <c r="O29" i="1"/>
  <c r="L29" i="1"/>
  <c r="J29" i="1"/>
  <c r="AA29" i="1" s="1"/>
  <c r="AF27" i="1"/>
  <c r="AE27" i="1"/>
  <c r="H27" i="1"/>
  <c r="AB27" i="1"/>
  <c r="Z27" i="1"/>
  <c r="O27" i="1"/>
  <c r="L27" i="1"/>
  <c r="J27" i="1"/>
  <c r="AA27" i="1" s="1"/>
  <c r="I88" i="1"/>
  <c r="I87" i="1" s="1"/>
  <c r="H88" i="1"/>
  <c r="H87" i="1" s="1"/>
  <c r="J21" i="1"/>
  <c r="J88" i="1"/>
  <c r="J87" i="1" s="1"/>
  <c r="L87" i="1"/>
  <c r="T12" i="1"/>
  <c r="V12" i="1"/>
  <c r="X12" i="1"/>
  <c r="J13" i="1"/>
  <c r="AA13" i="1"/>
  <c r="L13" i="1"/>
  <c r="O13" i="1"/>
  <c r="O14" i="1"/>
  <c r="O15" i="1"/>
  <c r="Z13" i="1"/>
  <c r="AB13" i="1"/>
  <c r="AE13" i="1"/>
  <c r="H13" i="1" s="1"/>
  <c r="AF13" i="1"/>
  <c r="J14" i="1"/>
  <c r="AA14" i="1" s="1"/>
  <c r="L14" i="1"/>
  <c r="Z14" i="1"/>
  <c r="AB14" i="1"/>
  <c r="AE14" i="1"/>
  <c r="H14" i="1" s="1"/>
  <c r="I14" i="1" s="1"/>
  <c r="AF14" i="1"/>
  <c r="J15" i="1"/>
  <c r="AA15" i="1" s="1"/>
  <c r="L15" i="1"/>
  <c r="Z15" i="1"/>
  <c r="AI12" i="1" s="1"/>
  <c r="AB15" i="1"/>
  <c r="AE15" i="1"/>
  <c r="H15" i="1" s="1"/>
  <c r="AF15" i="1"/>
  <c r="T16" i="1"/>
  <c r="V16" i="1"/>
  <c r="X16" i="1"/>
  <c r="J17" i="1"/>
  <c r="AA17" i="1" s="1"/>
  <c r="L17" i="1"/>
  <c r="O17" i="1"/>
  <c r="Z17" i="1"/>
  <c r="AB17" i="1"/>
  <c r="AE17" i="1"/>
  <c r="H17" i="1" s="1"/>
  <c r="I17" i="1" s="1"/>
  <c r="AF17" i="1"/>
  <c r="J18" i="1"/>
  <c r="AA18" i="1" s="1"/>
  <c r="L18" i="1"/>
  <c r="O18" i="1"/>
  <c r="Z18" i="1"/>
  <c r="AB18" i="1"/>
  <c r="AE18" i="1"/>
  <c r="H18" i="1" s="1"/>
  <c r="I18" i="1" s="1"/>
  <c r="AF18" i="1"/>
  <c r="J19" i="1"/>
  <c r="AA19" i="1" s="1"/>
  <c r="L19" i="1"/>
  <c r="O19" i="1"/>
  <c r="Z19" i="1"/>
  <c r="AB19" i="1"/>
  <c r="AE19" i="1"/>
  <c r="H19" i="1"/>
  <c r="I19" i="1" s="1"/>
  <c r="AF19" i="1"/>
  <c r="R20" i="1"/>
  <c r="V20" i="1"/>
  <c r="X20" i="1"/>
  <c r="J22" i="1"/>
  <c r="AA22" i="1" s="1"/>
  <c r="L22" i="1"/>
  <c r="O22" i="1"/>
  <c r="Z22" i="1"/>
  <c r="AB22" i="1"/>
  <c r="AE22" i="1"/>
  <c r="H22" i="1" s="1"/>
  <c r="I22" i="1" s="1"/>
  <c r="AF22" i="1"/>
  <c r="J23" i="1"/>
  <c r="AA23" i="1" s="1"/>
  <c r="L23" i="1"/>
  <c r="O23" i="1"/>
  <c r="Z23" i="1"/>
  <c r="AB23" i="1"/>
  <c r="AE23" i="1"/>
  <c r="H23" i="1" s="1"/>
  <c r="AF23" i="1"/>
  <c r="J24" i="1"/>
  <c r="AA24" i="1" s="1"/>
  <c r="L24" i="1"/>
  <c r="O24" i="1"/>
  <c r="Z24" i="1"/>
  <c r="AB24" i="1"/>
  <c r="AE24" i="1"/>
  <c r="H24" i="1" s="1"/>
  <c r="AF24" i="1"/>
  <c r="J25" i="1"/>
  <c r="AA25" i="1" s="1"/>
  <c r="L25" i="1"/>
  <c r="O25" i="1"/>
  <c r="Z25" i="1"/>
  <c r="AB25" i="1"/>
  <c r="AE25" i="1"/>
  <c r="H25" i="1" s="1"/>
  <c r="I25" i="1" s="1"/>
  <c r="AF25" i="1"/>
  <c r="J26" i="1"/>
  <c r="AA26" i="1" s="1"/>
  <c r="L26" i="1"/>
  <c r="O26" i="1"/>
  <c r="Z26" i="1"/>
  <c r="AB26" i="1"/>
  <c r="AE26" i="1"/>
  <c r="H26" i="1" s="1"/>
  <c r="I26" i="1" s="1"/>
  <c r="AF26" i="1"/>
  <c r="J28" i="1"/>
  <c r="L28" i="1"/>
  <c r="O28" i="1"/>
  <c r="Z28" i="1"/>
  <c r="AB28" i="1"/>
  <c r="AE28" i="1"/>
  <c r="H28" i="1" s="1"/>
  <c r="AF28" i="1"/>
  <c r="J30" i="1"/>
  <c r="I30" i="1" s="1"/>
  <c r="AE30" i="1"/>
  <c r="H30" i="1" s="1"/>
  <c r="L30" i="1"/>
  <c r="O30" i="1"/>
  <c r="Z30" i="1"/>
  <c r="AB30" i="1"/>
  <c r="AF30" i="1"/>
  <c r="J31" i="1"/>
  <c r="AA31" i="1" s="1"/>
  <c r="L31" i="1"/>
  <c r="O31" i="1"/>
  <c r="Z31" i="1"/>
  <c r="AB31" i="1"/>
  <c r="AE31" i="1"/>
  <c r="H31" i="1" s="1"/>
  <c r="AF31" i="1"/>
  <c r="J34" i="1"/>
  <c r="L34" i="1"/>
  <c r="O34" i="1"/>
  <c r="Z34" i="1"/>
  <c r="AB34" i="1"/>
  <c r="AE34" i="1"/>
  <c r="H34" i="1" s="1"/>
  <c r="AF34" i="1"/>
  <c r="J35" i="1"/>
  <c r="AA35" i="1" s="1"/>
  <c r="L35" i="1"/>
  <c r="O35" i="1"/>
  <c r="Z35" i="1"/>
  <c r="AB35" i="1"/>
  <c r="AE35" i="1"/>
  <c r="H35" i="1" s="1"/>
  <c r="AF35" i="1"/>
  <c r="J36" i="1"/>
  <c r="AA36" i="1" s="1"/>
  <c r="L36" i="1"/>
  <c r="O36" i="1"/>
  <c r="Z36" i="1"/>
  <c r="AB36" i="1"/>
  <c r="AE36" i="1"/>
  <c r="H36" i="1" s="1"/>
  <c r="I36" i="1" s="1"/>
  <c r="AF36" i="1"/>
  <c r="J37" i="1"/>
  <c r="AA37" i="1" s="1"/>
  <c r="L37" i="1"/>
  <c r="O37" i="1"/>
  <c r="Z37" i="1"/>
  <c r="AB37" i="1"/>
  <c r="AE37" i="1"/>
  <c r="H37" i="1" s="1"/>
  <c r="AF37" i="1"/>
  <c r="J38" i="1"/>
  <c r="AA38" i="1" s="1"/>
  <c r="L38" i="1"/>
  <c r="O38" i="1"/>
  <c r="Z38" i="1"/>
  <c r="AB38" i="1"/>
  <c r="AE38" i="1"/>
  <c r="H38" i="1" s="1"/>
  <c r="AF38" i="1"/>
  <c r="J39" i="1"/>
  <c r="AA39" i="1" s="1"/>
  <c r="L39" i="1"/>
  <c r="O39" i="1"/>
  <c r="Z39" i="1"/>
  <c r="AB39" i="1"/>
  <c r="AE39" i="1"/>
  <c r="H39" i="1" s="1"/>
  <c r="AF39" i="1"/>
  <c r="J40" i="1"/>
  <c r="AA40" i="1" s="1"/>
  <c r="L40" i="1"/>
  <c r="O40" i="1"/>
  <c r="Z40" i="1"/>
  <c r="AB40" i="1"/>
  <c r="AE40" i="1"/>
  <c r="H40" i="1" s="1"/>
  <c r="AF40" i="1"/>
  <c r="J41" i="1"/>
  <c r="AA41" i="1" s="1"/>
  <c r="L41" i="1"/>
  <c r="O41" i="1"/>
  <c r="Z41" i="1"/>
  <c r="AB41" i="1"/>
  <c r="AE41" i="1"/>
  <c r="H41" i="1" s="1"/>
  <c r="AF41" i="1"/>
  <c r="J42" i="1"/>
  <c r="AA42" i="1" s="1"/>
  <c r="L42" i="1"/>
  <c r="O42" i="1"/>
  <c r="Z42" i="1"/>
  <c r="AB42" i="1"/>
  <c r="AE42" i="1"/>
  <c r="H42" i="1" s="1"/>
  <c r="AF42" i="1"/>
  <c r="J43" i="1"/>
  <c r="AA43" i="1" s="1"/>
  <c r="L43" i="1"/>
  <c r="O43" i="1"/>
  <c r="Z43" i="1"/>
  <c r="AB43" i="1"/>
  <c r="AE43" i="1"/>
  <c r="H43" i="1" s="1"/>
  <c r="I43" i="1" s="1"/>
  <c r="AF43" i="1"/>
  <c r="J44" i="1"/>
  <c r="AA44" i="1" s="1"/>
  <c r="L44" i="1"/>
  <c r="O44" i="1"/>
  <c r="Z44" i="1"/>
  <c r="AB44" i="1"/>
  <c r="AE44" i="1"/>
  <c r="H44" i="1" s="1"/>
  <c r="I44" i="1" s="1"/>
  <c r="AF44" i="1"/>
  <c r="J45" i="1"/>
  <c r="L45" i="1"/>
  <c r="O45" i="1"/>
  <c r="Z45" i="1"/>
  <c r="AB45" i="1"/>
  <c r="AE45" i="1"/>
  <c r="H45" i="1" s="1"/>
  <c r="I45" i="1" s="1"/>
  <c r="AF45" i="1"/>
  <c r="J46" i="1"/>
  <c r="AA46" i="1" s="1"/>
  <c r="L46" i="1"/>
  <c r="O46" i="1"/>
  <c r="Z46" i="1"/>
  <c r="AB46" i="1"/>
  <c r="AE46" i="1"/>
  <c r="H46" i="1" s="1"/>
  <c r="AF46" i="1"/>
  <c r="J47" i="1"/>
  <c r="AA47" i="1" s="1"/>
  <c r="L47" i="1"/>
  <c r="O47" i="1"/>
  <c r="Z47" i="1"/>
  <c r="AB47" i="1"/>
  <c r="AE47" i="1"/>
  <c r="H47" i="1" s="1"/>
  <c r="AF47" i="1"/>
  <c r="J48" i="1"/>
  <c r="AA48" i="1" s="1"/>
  <c r="L48" i="1"/>
  <c r="O48" i="1"/>
  <c r="Z48" i="1"/>
  <c r="AB48" i="1"/>
  <c r="AE48" i="1"/>
  <c r="H48" i="1" s="1"/>
  <c r="AF48" i="1"/>
  <c r="R49" i="1"/>
  <c r="V49" i="1"/>
  <c r="X49" i="1"/>
  <c r="J50" i="1"/>
  <c r="AA50" i="1" s="1"/>
  <c r="L50" i="1"/>
  <c r="L49" i="1" s="1"/>
  <c r="O50" i="1"/>
  <c r="Z50" i="1"/>
  <c r="AB50" i="1"/>
  <c r="AE50" i="1"/>
  <c r="H50" i="1" s="1"/>
  <c r="AF50" i="1"/>
  <c r="J51" i="1"/>
  <c r="AA51" i="1" s="1"/>
  <c r="L51" i="1"/>
  <c r="O51" i="1"/>
  <c r="Z51" i="1"/>
  <c r="AB51" i="1"/>
  <c r="AE51" i="1"/>
  <c r="H51" i="1" s="1"/>
  <c r="AF51" i="1"/>
  <c r="J52" i="1"/>
  <c r="AA52" i="1" s="1"/>
  <c r="L52" i="1"/>
  <c r="O52" i="1"/>
  <c r="Z52" i="1"/>
  <c r="AB52" i="1"/>
  <c r="AE52" i="1"/>
  <c r="H52" i="1" s="1"/>
  <c r="I52" i="1" s="1"/>
  <c r="AF52" i="1"/>
  <c r="J57" i="1"/>
  <c r="AA57" i="1" s="1"/>
  <c r="L57" i="1"/>
  <c r="O57" i="1"/>
  <c r="Z57" i="1"/>
  <c r="AB57" i="1"/>
  <c r="AE57" i="1"/>
  <c r="H57" i="1" s="1"/>
  <c r="AF57" i="1"/>
  <c r="J58" i="1"/>
  <c r="AA58" i="1" s="1"/>
  <c r="L58" i="1"/>
  <c r="O58" i="1"/>
  <c r="Z58" i="1"/>
  <c r="AB58" i="1"/>
  <c r="AE58" i="1"/>
  <c r="H58" i="1" s="1"/>
  <c r="AF58" i="1"/>
  <c r="J59" i="1"/>
  <c r="AA59" i="1" s="1"/>
  <c r="L59" i="1"/>
  <c r="O59" i="1"/>
  <c r="Z59" i="1"/>
  <c r="AB59" i="1"/>
  <c r="AE59" i="1"/>
  <c r="H59" i="1" s="1"/>
  <c r="AF59" i="1"/>
  <c r="J60" i="1"/>
  <c r="AA60" i="1" s="1"/>
  <c r="L60" i="1"/>
  <c r="O60" i="1"/>
  <c r="Z60" i="1"/>
  <c r="AB60" i="1"/>
  <c r="AE60" i="1"/>
  <c r="H60" i="1" s="1"/>
  <c r="AF60" i="1"/>
  <c r="J61" i="1"/>
  <c r="AA61" i="1" s="1"/>
  <c r="L61" i="1"/>
  <c r="O61" i="1"/>
  <c r="Z61" i="1"/>
  <c r="AB61" i="1"/>
  <c r="AE61" i="1"/>
  <c r="H61" i="1" s="1"/>
  <c r="AF61" i="1"/>
  <c r="J62" i="1"/>
  <c r="AA62" i="1" s="1"/>
  <c r="L62" i="1"/>
  <c r="O62" i="1"/>
  <c r="Z62" i="1"/>
  <c r="AB62" i="1"/>
  <c r="AE62" i="1"/>
  <c r="H62" i="1" s="1"/>
  <c r="AF62" i="1"/>
  <c r="J63" i="1"/>
  <c r="L63" i="1"/>
  <c r="O63" i="1"/>
  <c r="Z63" i="1"/>
  <c r="AB63" i="1"/>
  <c r="AE63" i="1"/>
  <c r="H63" i="1" s="1"/>
  <c r="I63" i="1" s="1"/>
  <c r="AF63" i="1"/>
  <c r="J64" i="1"/>
  <c r="AA64" i="1" s="1"/>
  <c r="L64" i="1"/>
  <c r="O64" i="1"/>
  <c r="Z64" i="1"/>
  <c r="AB64" i="1"/>
  <c r="AE64" i="1"/>
  <c r="H64" i="1" s="1"/>
  <c r="AF64" i="1"/>
  <c r="J65" i="1"/>
  <c r="AA65" i="1" s="1"/>
  <c r="L65" i="1"/>
  <c r="O65" i="1"/>
  <c r="Z65" i="1"/>
  <c r="AB65" i="1"/>
  <c r="AE65" i="1"/>
  <c r="H65" i="1" s="1"/>
  <c r="AF65" i="1"/>
  <c r="J66" i="1"/>
  <c r="AA66" i="1" s="1"/>
  <c r="L66" i="1"/>
  <c r="O66" i="1"/>
  <c r="Z66" i="1"/>
  <c r="AB66" i="1"/>
  <c r="AE66" i="1"/>
  <c r="H66" i="1" s="1"/>
  <c r="AF66" i="1"/>
  <c r="J67" i="1"/>
  <c r="AA67" i="1" s="1"/>
  <c r="L67" i="1"/>
  <c r="O67" i="1"/>
  <c r="Z67" i="1"/>
  <c r="AB67" i="1"/>
  <c r="AE67" i="1"/>
  <c r="H67" i="1" s="1"/>
  <c r="I67" i="1" s="1"/>
  <c r="AF67" i="1"/>
  <c r="J68" i="1"/>
  <c r="AA68" i="1" s="1"/>
  <c r="L68" i="1"/>
  <c r="O68" i="1"/>
  <c r="Z68" i="1"/>
  <c r="AB68" i="1"/>
  <c r="AE68" i="1"/>
  <c r="H68" i="1" s="1"/>
  <c r="AF68" i="1"/>
  <c r="J69" i="1"/>
  <c r="AA69" i="1" s="1"/>
  <c r="L69" i="1"/>
  <c r="O69" i="1"/>
  <c r="Z69" i="1"/>
  <c r="AB69" i="1"/>
  <c r="AE69" i="1"/>
  <c r="H69" i="1" s="1"/>
  <c r="AF69" i="1"/>
  <c r="R70" i="1"/>
  <c r="V70" i="1"/>
  <c r="X70" i="1"/>
  <c r="J71" i="1"/>
  <c r="AA71" i="1" s="1"/>
  <c r="L71" i="1"/>
  <c r="O71" i="1"/>
  <c r="Z71" i="1"/>
  <c r="AB71" i="1"/>
  <c r="AE71" i="1"/>
  <c r="H71" i="1" s="1"/>
  <c r="AF71" i="1"/>
  <c r="J72" i="1"/>
  <c r="L72" i="1"/>
  <c r="O72" i="1"/>
  <c r="Z72" i="1"/>
  <c r="AB72" i="1"/>
  <c r="AE72" i="1"/>
  <c r="H72" i="1" s="1"/>
  <c r="AE73" i="1"/>
  <c r="H73" i="1" s="1"/>
  <c r="AE74" i="1"/>
  <c r="H74" i="1" s="1"/>
  <c r="AF72" i="1"/>
  <c r="J73" i="1"/>
  <c r="AA73" i="1"/>
  <c r="L73" i="1"/>
  <c r="O73" i="1"/>
  <c r="Z73" i="1"/>
  <c r="AB73" i="1"/>
  <c r="AF73" i="1"/>
  <c r="J74" i="1"/>
  <c r="AA74" i="1" s="1"/>
  <c r="L74" i="1"/>
  <c r="O74" i="1"/>
  <c r="Z74" i="1"/>
  <c r="AI70" i="1" s="1"/>
  <c r="AB74" i="1"/>
  <c r="AF74" i="1"/>
  <c r="T75" i="1"/>
  <c r="V75" i="1"/>
  <c r="X75" i="1"/>
  <c r="J77" i="1"/>
  <c r="AA77" i="1" s="1"/>
  <c r="L77" i="1"/>
  <c r="L75" i="1" s="1"/>
  <c r="O77" i="1"/>
  <c r="Z77" i="1"/>
  <c r="AB77" i="1"/>
  <c r="AE77" i="1"/>
  <c r="H77" i="1" s="1"/>
  <c r="AF77" i="1"/>
  <c r="J78" i="1"/>
  <c r="AA78" i="1" s="1"/>
  <c r="L78" i="1"/>
  <c r="O78" i="1"/>
  <c r="Z78" i="1"/>
  <c r="AB78" i="1"/>
  <c r="AE78" i="1"/>
  <c r="H78" i="1" s="1"/>
  <c r="AF78" i="1"/>
  <c r="T79" i="1"/>
  <c r="V79" i="1"/>
  <c r="X79" i="1"/>
  <c r="J80" i="1"/>
  <c r="AA80" i="1" s="1"/>
  <c r="L80" i="1"/>
  <c r="O80" i="1"/>
  <c r="Z80" i="1"/>
  <c r="AB80" i="1"/>
  <c r="AE80" i="1"/>
  <c r="H80" i="1" s="1"/>
  <c r="AF80" i="1"/>
  <c r="J81" i="1"/>
  <c r="AA81" i="1" s="1"/>
  <c r="AE81" i="1"/>
  <c r="H81" i="1" s="1"/>
  <c r="I81" i="1" s="1"/>
  <c r="J82" i="1"/>
  <c r="AE82" i="1"/>
  <c r="H82" i="1" s="1"/>
  <c r="L81" i="1"/>
  <c r="L82" i="1"/>
  <c r="O81" i="1"/>
  <c r="O82" i="1"/>
  <c r="Z81" i="1"/>
  <c r="Z82" i="1"/>
  <c r="AB81" i="1"/>
  <c r="AB82" i="1"/>
  <c r="AF81" i="1"/>
  <c r="AF82" i="1"/>
  <c r="R83" i="1"/>
  <c r="T83" i="1"/>
  <c r="V83" i="1"/>
  <c r="X83" i="1"/>
  <c r="J84" i="1"/>
  <c r="AA84" i="1" s="1"/>
  <c r="L84" i="1"/>
  <c r="Z84" i="1"/>
  <c r="AB84" i="1"/>
  <c r="AE84" i="1"/>
  <c r="H84" i="1" s="1"/>
  <c r="AF84" i="1"/>
  <c r="J85" i="1"/>
  <c r="AA85" i="1" s="1"/>
  <c r="L85" i="1"/>
  <c r="Z85" i="1"/>
  <c r="AB85" i="1"/>
  <c r="AE85" i="1"/>
  <c r="H85" i="1" s="1"/>
  <c r="AF85" i="1"/>
  <c r="J86" i="1"/>
  <c r="AE86" i="1"/>
  <c r="H86" i="1" s="1"/>
  <c r="L86" i="1"/>
  <c r="Z86" i="1"/>
  <c r="AB86" i="1"/>
  <c r="AF86" i="1"/>
  <c r="AA33" i="1"/>
  <c r="AA72" i="1"/>
  <c r="AA45" i="1"/>
  <c r="L12" i="1"/>
  <c r="AA63" i="1"/>
  <c r="AA53" i="1"/>
  <c r="L16" i="1"/>
  <c r="J32" i="1"/>
  <c r="AA32" i="1" s="1"/>
  <c r="AK12" i="1"/>
  <c r="AA28" i="1"/>
  <c r="W16" i="1"/>
  <c r="U16" i="1"/>
  <c r="W12" i="1"/>
  <c r="U12" i="1"/>
  <c r="S49" i="1"/>
  <c r="W49" i="1"/>
  <c r="U79" i="1"/>
  <c r="W79" i="1"/>
  <c r="W75" i="1"/>
  <c r="U75" i="1"/>
  <c r="L70" i="1"/>
  <c r="L20" i="1"/>
  <c r="S70" i="1"/>
  <c r="W70" i="1"/>
  <c r="W20" i="1"/>
  <c r="W83" i="1"/>
  <c r="S20" i="1"/>
  <c r="U83" i="1"/>
  <c r="S83" i="1"/>
  <c r="I54" i="1" l="1"/>
  <c r="I48" i="1"/>
  <c r="I32" i="1"/>
  <c r="I15" i="1"/>
  <c r="I86" i="1"/>
  <c r="O86" i="1" s="1"/>
  <c r="AI79" i="1"/>
  <c r="AK79" i="1"/>
  <c r="AI75" i="1"/>
  <c r="P75" i="1"/>
  <c r="AK70" i="1"/>
  <c r="P70" i="1"/>
  <c r="I62" i="1"/>
  <c r="AI49" i="1"/>
  <c r="AK49" i="1"/>
  <c r="P49" i="1"/>
  <c r="I53" i="1"/>
  <c r="I50" i="1"/>
  <c r="I41" i="1"/>
  <c r="I37" i="1"/>
  <c r="P20" i="1"/>
  <c r="AK20" i="1"/>
  <c r="I29" i="1"/>
  <c r="I27" i="1"/>
  <c r="AJ12" i="1"/>
  <c r="P12" i="1"/>
  <c r="I13" i="1"/>
  <c r="I12" i="1" s="1"/>
  <c r="H12" i="1"/>
  <c r="I72" i="1"/>
  <c r="I34" i="1"/>
  <c r="I40" i="1"/>
  <c r="I69" i="1"/>
  <c r="I66" i="1"/>
  <c r="I82" i="1"/>
  <c r="H70" i="1"/>
  <c r="I68" i="1"/>
  <c r="I65" i="1"/>
  <c r="I64" i="1"/>
  <c r="I61" i="1"/>
  <c r="AI20" i="1"/>
  <c r="I24" i="1"/>
  <c r="I33" i="1"/>
  <c r="AJ70" i="1"/>
  <c r="J20" i="1"/>
  <c r="J75" i="1"/>
  <c r="L83" i="1"/>
  <c r="P79" i="1"/>
  <c r="AK75" i="1"/>
  <c r="I77" i="1"/>
  <c r="I74" i="1"/>
  <c r="I60" i="1"/>
  <c r="I57" i="1"/>
  <c r="I46" i="1"/>
  <c r="I38" i="1"/>
  <c r="I35" i="1"/>
  <c r="AA30" i="1"/>
  <c r="I28" i="1"/>
  <c r="H79" i="1"/>
  <c r="R79" i="1" s="1"/>
  <c r="I31" i="1"/>
  <c r="AA34" i="1"/>
  <c r="I71" i="1"/>
  <c r="I58" i="1"/>
  <c r="I39" i="1"/>
  <c r="I59" i="1"/>
  <c r="L79" i="1"/>
  <c r="I47" i="1"/>
  <c r="I42" i="1"/>
  <c r="AK83" i="1"/>
  <c r="AA86" i="1"/>
  <c r="AJ83" i="1" s="1"/>
  <c r="AI83" i="1"/>
  <c r="I73" i="1"/>
  <c r="AJ49" i="1"/>
  <c r="I84" i="1"/>
  <c r="H83" i="1"/>
  <c r="I51" i="1"/>
  <c r="H49" i="1"/>
  <c r="H20" i="1"/>
  <c r="T20" i="1" s="1"/>
  <c r="I23" i="1"/>
  <c r="T70" i="1"/>
  <c r="I85" i="1"/>
  <c r="O85" i="1" s="1"/>
  <c r="AA82" i="1"/>
  <c r="AJ79" i="1" s="1"/>
  <c r="I80" i="1"/>
  <c r="I79" i="1" s="1"/>
  <c r="P16" i="1"/>
  <c r="AJ75" i="1"/>
  <c r="AI16" i="1"/>
  <c r="Z89" i="1"/>
  <c r="AJ16" i="1"/>
  <c r="AK16" i="1"/>
  <c r="I16" i="1"/>
  <c r="H75" i="1"/>
  <c r="R75" i="1" s="1"/>
  <c r="I78" i="1"/>
  <c r="AB89" i="1"/>
  <c r="H16" i="1"/>
  <c r="S79" i="1" l="1"/>
  <c r="I75" i="1"/>
  <c r="S75" i="1" s="1"/>
  <c r="I70" i="1"/>
  <c r="U70" i="1" s="1"/>
  <c r="I49" i="1"/>
  <c r="U49" i="1" s="1"/>
  <c r="I20" i="1"/>
  <c r="AJ20" i="1"/>
  <c r="U20" i="1"/>
  <c r="S12" i="1"/>
  <c r="AA89" i="1"/>
  <c r="R12" i="1"/>
  <c r="J12" i="1"/>
  <c r="S16" i="1"/>
  <c r="O84" i="1"/>
  <c r="I83" i="1"/>
  <c r="J83" i="1" s="1"/>
  <c r="T49" i="1"/>
  <c r="J79" i="1"/>
  <c r="R16" i="1"/>
  <c r="J16" i="1"/>
  <c r="J70" i="1" l="1"/>
  <c r="J49" i="1"/>
  <c r="P83" i="1"/>
  <c r="J89" i="1"/>
</calcChain>
</file>

<file path=xl/sharedStrings.xml><?xml version="1.0" encoding="utf-8"?>
<sst xmlns="http://schemas.openxmlformats.org/spreadsheetml/2006/main" count="415" uniqueCount="211">
  <si>
    <t>Stavební rozpočet</t>
  </si>
  <si>
    <t>Název stavby:</t>
  </si>
  <si>
    <t>Znojmo, TGM 6, 66902</t>
  </si>
  <si>
    <t>Doba výstavby:</t>
  </si>
  <si>
    <t>Objednatel:</t>
  </si>
  <si>
    <t>Druh stavby:</t>
  </si>
  <si>
    <t>rekonstrukce stoupaček vodoinstalace</t>
  </si>
  <si>
    <t>Začátek výstavby:</t>
  </si>
  <si>
    <t>Projektant:</t>
  </si>
  <si>
    <t>Lokalita:</t>
  </si>
  <si>
    <t>Znojmo,město,  byty a obchodní prostory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</si>
  <si>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</si>
  <si>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</si>
  <si>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</si>
  <si>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</si>
  <si>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</si>
  <si>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</si>
  <si>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</si>
  <si>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</si>
  <si>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</si>
  <si>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M.j.</t>
  </si>
  <si>
    <t>Množství</t>
  </si>
  <si>
    <t>Jednot.</t>
  </si>
  <si>
    <t>Náklady (Kč)</t>
  </si>
  <si>
    <t>Hmotnost (t)</t>
  </si>
  <si>
    <t>Cenová</t>
  </si>
  <si>
    <t xml:space="preserve"> </t>
  </si>
  <si>
    <t>Rozměry</t>
  </si>
  <si>
    <t>cena 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</si>
  <si>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</si>
  <si>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</si>
  <si>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</si>
  <si>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</si>
  <si>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</si>
  <si>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</si>
  <si>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</si>
  <si>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</si>
  <si>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</si>
  <si>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</si>
  <si>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</si>
  <si>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</si>
  <si>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</si>
  <si>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61</t>
  </si>
  <si>
    <t>Úprava povrchů vnitřní</t>
  </si>
  <si>
    <t>HS</t>
  </si>
  <si>
    <t>1</t>
  </si>
  <si>
    <t>612401391RT2</t>
  </si>
  <si>
    <t>Omítka malých ploch vnitřních stěn do 1 m2</t>
  </si>
  <si>
    <t>mb</t>
  </si>
  <si>
    <t>RTS I / 2013</t>
  </si>
  <si>
    <t>2</t>
  </si>
  <si>
    <t>612401962R00</t>
  </si>
  <si>
    <t>Příplatek za práci v omez. prostoru, omítka hladká</t>
  </si>
  <si>
    <t>m2</t>
  </si>
  <si>
    <t>3</t>
  </si>
  <si>
    <t>612403399RT2</t>
  </si>
  <si>
    <t>Hrubá výplň rýh ve stěnách maltou</t>
  </si>
  <si>
    <t>63</t>
  </si>
  <si>
    <t>Podlahy a podlahové konstrukce</t>
  </si>
  <si>
    <t>4</t>
  </si>
  <si>
    <t>631311121R00</t>
  </si>
  <si>
    <t>Doplnění mazanin betonem do 1 m2, do tl. 8 cm</t>
  </si>
  <si>
    <t>m3</t>
  </si>
  <si>
    <t>5</t>
  </si>
  <si>
    <t>632451441R00</t>
  </si>
  <si>
    <t>Doplnění potěru v ploše do 1 m2, tl.30-40 mm</t>
  </si>
  <si>
    <t>6</t>
  </si>
  <si>
    <t>632921411R00</t>
  </si>
  <si>
    <t>Dlažba z dlaždic betonových do MC 10, tl. 33 mm</t>
  </si>
  <si>
    <t>722</t>
  </si>
  <si>
    <t>Vnitřní vodovod</t>
  </si>
  <si>
    <t>PS</t>
  </si>
  <si>
    <t>722001</t>
  </si>
  <si>
    <t>Oprava vodoměrné šachty vyspravení dna,oprava stěn,nátěr poklopu</t>
  </si>
  <si>
    <t>soubor</t>
  </si>
  <si>
    <t>722130802R00</t>
  </si>
  <si>
    <t>Demontáž potrubí ocelových závitových DN 32</t>
  </si>
  <si>
    <t>m</t>
  </si>
  <si>
    <t>722130801R00</t>
  </si>
  <si>
    <t>Demontáž potrubí ocelových závitových DN 25</t>
  </si>
  <si>
    <t>722130515R00</t>
  </si>
  <si>
    <t>bm</t>
  </si>
  <si>
    <t>722172313R00</t>
  </si>
  <si>
    <t>Potrubí z PPR Instaplast, studená, D 32/4,4 mm</t>
  </si>
  <si>
    <t>722172311R00</t>
  </si>
  <si>
    <t>Potrubí z PPR Instaplast, studená, D 20/2,8 mm</t>
  </si>
  <si>
    <t>Potrubí z PPR Instaplast, studená, D 16/2,2 mm</t>
  </si>
  <si>
    <t>722172331R00</t>
  </si>
  <si>
    <t>Potrubí z PPR Instaplast, teplá, D 20/3,4 mm</t>
  </si>
  <si>
    <t>Potrubí z PPR Instaplast, teplá, D 16/2,2 mm</t>
  </si>
  <si>
    <t>722174212R00</t>
  </si>
  <si>
    <t>Montáž potrubí z plastů rovné polyfúz. svař. DN 32</t>
  </si>
  <si>
    <t>722174214R00</t>
  </si>
  <si>
    <t>Montáž potrubí z plastů rovné polyfúz. svař. DN 20</t>
  </si>
  <si>
    <t>Montáž potrubí z plastů rovné polyfúz. svař. DN 16</t>
  </si>
  <si>
    <t>Sestavení plastového rozvodu vody DN 20</t>
  </si>
  <si>
    <t>722181211RT7</t>
  </si>
  <si>
    <t>Izolace návleková MIRELON PRO tl. stěny 6 mm</t>
  </si>
  <si>
    <t>722181211RU1</t>
  </si>
  <si>
    <t>722181212RT7</t>
  </si>
  <si>
    <t>Izolace návleková MIRELON PRO tl. stěny 9 mm</t>
  </si>
  <si>
    <t>722202412R00</t>
  </si>
  <si>
    <t>Kohout kulový nerozebíratelný PP-R INSTAPLAST D 20</t>
  </si>
  <si>
    <t>kus</t>
  </si>
  <si>
    <t>722202524R00</t>
  </si>
  <si>
    <t>Ventil přímý s výpustí PP-R INSTAPLAST D 32x1"</t>
  </si>
  <si>
    <t>722220111R00</t>
  </si>
  <si>
    <t>Nástěnka K 247, pro výtokový ventil G 1/2</t>
  </si>
  <si>
    <t>722220861R00</t>
  </si>
  <si>
    <t>Demontáž armatur s dvěma závity G 3/4</t>
  </si>
  <si>
    <t>722220851R00</t>
  </si>
  <si>
    <t>Demontáž armatur s jedním závitem G 3/4</t>
  </si>
  <si>
    <t>722235112R00</t>
  </si>
  <si>
    <t>Kohout kulový, vnitř.-vnitř.z. IVAR PERFECTA DN 20</t>
  </si>
  <si>
    <t>722260813R00</t>
  </si>
  <si>
    <t>Demontáž vodoměrů závitových G 1</t>
  </si>
  <si>
    <t>722260923R00</t>
  </si>
  <si>
    <t>Zpětná montáž vodoměrů závitových G 1</t>
  </si>
  <si>
    <t>722262211R00</t>
  </si>
  <si>
    <t>Vodoměry do 30°C, závitové G 3/4 MN-QN 2,5XN.EBH</t>
  </si>
  <si>
    <t>722264312R00</t>
  </si>
  <si>
    <t>Vodoměr bytový SV Enbra EV DN 15x110 mm, Qn 1,5</t>
  </si>
  <si>
    <t>722290822R00</t>
  </si>
  <si>
    <t>Přesun vybouraných hmot - vodovody, H 6 - 12 m</t>
  </si>
  <si>
    <t>t</t>
  </si>
  <si>
    <t>722280106R00</t>
  </si>
  <si>
    <t>725</t>
  </si>
  <si>
    <t>Zařizovací předměty</t>
  </si>
  <si>
    <t>725810811R00</t>
  </si>
  <si>
    <t>Demontáž ventilu výtokového nástěnného</t>
  </si>
  <si>
    <t>725210821R00</t>
  </si>
  <si>
    <t>Demontáž umyvadel bez výtokových armatur</t>
  </si>
  <si>
    <t>725210914R00</t>
  </si>
  <si>
    <t>Zpětná montáž umyvadla bez výtok.armatur</t>
  </si>
  <si>
    <t>Demontáž WC mísy včetně zásobníku na vodu</t>
  </si>
  <si>
    <t>Zpětná montáž WC mísy včetně zásobníku na vodu</t>
  </si>
  <si>
    <t>725210923R00</t>
  </si>
  <si>
    <t>Výměna konzoly</t>
  </si>
  <si>
    <t>725210982R00</t>
  </si>
  <si>
    <t>Odmontování zápachové uzávěrky</t>
  </si>
  <si>
    <t>725210983R00</t>
  </si>
  <si>
    <t>Zpětná montáž zápachové uzávěrky</t>
  </si>
  <si>
    <t>725210984R00</t>
  </si>
  <si>
    <t>Odmontování rohového ventilu G 1/2</t>
  </si>
  <si>
    <t>725210985R00</t>
  </si>
  <si>
    <t>Zpětná montáž rohového ventilu G 1/2, růžice</t>
  </si>
  <si>
    <t>725530823R00</t>
  </si>
  <si>
    <t>Demontáž, zásobník elektrický tlakový  80 l</t>
  </si>
  <si>
    <t>725530921R00</t>
  </si>
  <si>
    <t>Zpětná montáž zásobníků tlakových  80 l</t>
  </si>
  <si>
    <t>725825114RT0</t>
  </si>
  <si>
    <t>Baterie dřezová nástěnná ruční</t>
  </si>
  <si>
    <t>725825111RT0</t>
  </si>
  <si>
    <t>Baterie umyvadlová nástěnná ruční</t>
  </si>
  <si>
    <t>725835113RT1</t>
  </si>
  <si>
    <t>Baterie vanová nástěnná ruční, vč. příslušenstvím</t>
  </si>
  <si>
    <t>725845111RT1</t>
  </si>
  <si>
    <t>Baterie sprchová nástěnná ruční, bez příslušenství</t>
  </si>
  <si>
    <t>725839203R00</t>
  </si>
  <si>
    <t>Montáž baterie vanové nástěnné G 1/2</t>
  </si>
  <si>
    <t>725829201R00</t>
  </si>
  <si>
    <t>Montáž baterie umyv.a dřezové nástěnné chromové</t>
  </si>
  <si>
    <t>72598012AR00</t>
  </si>
  <si>
    <t>D+MTŽ skříňka na vodoměr, dvířka z plastu, 200 x 300 mm, včetně montáže, zapravení</t>
  </si>
  <si>
    <t>725590811R00</t>
  </si>
  <si>
    <t>Přesun vybour.hmot, zařizovací předměty H 6 m</t>
  </si>
  <si>
    <t>781</t>
  </si>
  <si>
    <t>Obklady (keramické)</t>
  </si>
  <si>
    <t>781101111R00</t>
  </si>
  <si>
    <t>Vyrovnání podkladu maltou ze SMS tl. do 7 mm</t>
  </si>
  <si>
    <t>781230121R00</t>
  </si>
  <si>
    <t>Obkládání stěn vnitř.keram. do tmele do 300x300 mm,včetně mater.</t>
  </si>
  <si>
    <t>781419701R00</t>
  </si>
  <si>
    <t>Příplatek za práci v omezeném prostoru</t>
  </si>
  <si>
    <t>781419705RT2</t>
  </si>
  <si>
    <t>Příplatek za spárovací hmotu - plošně</t>
  </si>
  <si>
    <t>96</t>
  </si>
  <si>
    <t>Bourání konstrukcí</t>
  </si>
  <si>
    <t>900      RT1</t>
  </si>
  <si>
    <t>Hzs - nezmeřitelné práce   čl.17-1a Práce v tarifní třídě 4, ověření tras přívodního potrubí</t>
  </si>
  <si>
    <t>hod</t>
  </si>
  <si>
    <t>965042221RT2</t>
  </si>
  <si>
    <t>Bourání mazanin betonových tl. nad 10 cm, pl. 1 m2</t>
  </si>
  <si>
    <t>97</t>
  </si>
  <si>
    <t>Prorážení otvorů a ostatní bourací práce</t>
  </si>
  <si>
    <t>971028561R00</t>
  </si>
  <si>
    <t>Vybourání otvorů zeď smíš. pl. 1 m2, tl. 60 cm</t>
  </si>
  <si>
    <t>97403113AR00</t>
  </si>
  <si>
    <t>Vysekání rýh ve zdi cihelné 5 x 10 cm, včetně zapravení a výmalby</t>
  </si>
  <si>
    <t>97403125AR00</t>
  </si>
  <si>
    <t>Vysekání rýh zeď cihelná u stropu 10 x 30 cm, , včetně zapravení a výmalby</t>
  </si>
  <si>
    <t>S</t>
  </si>
  <si>
    <t>Přesuny sutí</t>
  </si>
  <si>
    <t>PR</t>
  </si>
  <si>
    <t>979094111R00</t>
  </si>
  <si>
    <t>Nakládání nebo překládání vybouraných hmot</t>
  </si>
  <si>
    <t>979981101R00</t>
  </si>
  <si>
    <t>Kontejner, suť bez příměsí, odvoz a likvidace, 3 t</t>
  </si>
  <si>
    <t>979990106R00</t>
  </si>
  <si>
    <t>Poplatek za skládku suti - cihelné výrobky</t>
  </si>
  <si>
    <t>784</t>
  </si>
  <si>
    <t>Malby</t>
  </si>
  <si>
    <t>784452271RTX</t>
  </si>
  <si>
    <t>Malba směsí tekutou 2x, 1barva, místnost do 3,8 m Primalex Standard</t>
  </si>
  <si>
    <t>komple</t>
  </si>
  <si>
    <t>Celkem:</t>
  </si>
  <si>
    <t>Poznámka:</t>
  </si>
  <si>
    <t>Vybourání vodovod., plynového vedení DN do 52 mm včetně zapravení</t>
  </si>
  <si>
    <t>96901112aR00</t>
  </si>
  <si>
    <t>Tlaková zkouška vodovodního potrubí do DN 32</t>
  </si>
  <si>
    <t>Potrubí z PPR Instaplast, studená, D 32/4,4 mm, zavěšené pod stropem 1.PP (včetně uchycení  a montáže)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</si>
</sst>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61"/>
      <name val="Arial"/>
      <charset val="238"/>
    </font>
    <font>
      <i/>
      <sz val="8"/>
      <color indexed="8"/>
      <name val="Arial"/>
      <charset val="238"/>
    </font>
    <font>
      <b/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1" fillId="0" borderId="0" xfId="0" applyFont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right" vertical="center"/>
    </xf>
    <xf numFmtId="49" fontId="3" fillId="2" borderId="0" xfId="0" applyNumberFormat="1" applyFont="1" applyFill="1" applyBorder="1" applyAlignment="1" applyProtection="1">
      <alignment horizontal="right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3" fillId="2" borderId="3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21" xfId="0" applyNumberFormat="1" applyFont="1" applyFill="1" applyBorder="1" applyAlignment="1" applyProtection="1">
      <alignment horizontal="left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14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14" fontId="1" fillId="0" borderId="0" xfId="0" applyNumberFormat="1" applyFont="1" applyFill="1" applyBorder="1" applyAlignment="1" applyProtection="1">
      <alignment horizontal="left" vertical="center"/>
    </xf>
    <xf numFmtId="0" fontId="1" fillId="0" borderId="19" xfId="0" applyNumberFormat="1" applyFont="1" applyFill="1" applyBorder="1" applyAlignment="1" applyProtection="1">
      <alignment horizontal="left" vertical="center"/>
    </xf>
    <xf numFmtId="0" fontId="1" fillId="0" borderId="20" xfId="0" applyNumberFormat="1" applyFont="1" applyFill="1" applyBorder="1" applyAlignment="1" applyProtection="1">
      <alignment horizontal="lef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1" fillId="0" borderId="22" xfId="0" applyNumberFormat="1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000000"/>
      <rgbColor rgb="0000000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1"/>
  <sheetViews>
    <sheetView tabSelected="1" topLeftCell="A64" zoomScale="85" zoomScaleNormal="85" workbookViewId="0">
      <selection activeCell="G89" sqref="G89"/>
    </sheetView>
  </sheetViews>
  <sheetFormatPr defaultColWidth="11.5703125" defaultRowHeight="12.75" x14ac:dyDescent="0.2"/>
  <cols>
    <col min="1" max="1" width="3.7109375" customWidth="1"/>
    <col min="2" max="2" width="6.85546875" customWidth="1"/>
    <col min="3" max="3" width="13.28515625" customWidth="1"/>
    <col min="4" max="4" width="56.7109375" customWidth="1"/>
    <col min="5" max="5" width="6.42578125" customWidth="1"/>
    <col min="6" max="6" width="10.85546875" customWidth="1"/>
    <col min="7" max="7" width="12" customWidth="1"/>
    <col min="8" max="10" width="14.28515625" customWidth="1"/>
    <col min="11" max="13" width="11.7109375" customWidth="1"/>
    <col min="14" max="37" width="12.140625" hidden="1" customWidth="1"/>
  </cols>
  <sheetData>
    <row r="1" spans="1:37" ht="21.95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37" x14ac:dyDescent="0.2">
      <c r="A2" s="49" t="s">
        <v>1</v>
      </c>
      <c r="B2" s="50"/>
      <c r="C2" s="50"/>
      <c r="D2" s="52" t="s">
        <v>2</v>
      </c>
      <c r="E2" s="54" t="s">
        <v>3</v>
      </c>
      <c r="F2" s="50"/>
      <c r="G2" s="54"/>
      <c r="H2" s="50"/>
      <c r="I2" s="55" t="s">
        <v>4</v>
      </c>
      <c r="J2" s="55"/>
      <c r="K2" s="50"/>
      <c r="L2" s="50"/>
      <c r="M2" s="56"/>
      <c r="N2" s="23"/>
    </row>
    <row r="3" spans="1:37" x14ac:dyDescent="0.2">
      <c r="A3" s="51"/>
      <c r="B3" s="45"/>
      <c r="C3" s="45"/>
      <c r="D3" s="53"/>
      <c r="E3" s="45"/>
      <c r="F3" s="45"/>
      <c r="G3" s="45"/>
      <c r="H3" s="45"/>
      <c r="I3" s="45"/>
      <c r="J3" s="45"/>
      <c r="K3" s="45"/>
      <c r="L3" s="45"/>
      <c r="M3" s="46"/>
      <c r="N3" s="23"/>
    </row>
    <row r="4" spans="1:37" x14ac:dyDescent="0.2">
      <c r="A4" s="57" t="s">
        <v>5</v>
      </c>
      <c r="B4" s="45"/>
      <c r="C4" s="45"/>
      <c r="D4" s="44" t="s">
        <v>6</v>
      </c>
      <c r="E4" s="58" t="s">
        <v>7</v>
      </c>
      <c r="F4" s="45"/>
      <c r="G4" s="59"/>
      <c r="H4" s="45"/>
      <c r="I4" s="44" t="s">
        <v>8</v>
      </c>
      <c r="J4" s="44"/>
      <c r="K4" s="45"/>
      <c r="L4" s="45"/>
      <c r="M4" s="46"/>
      <c r="N4" s="23"/>
    </row>
    <row r="5" spans="1:37" x14ac:dyDescent="0.2">
      <c r="A5" s="5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  <c r="N5" s="23"/>
    </row>
    <row r="6" spans="1:37" x14ac:dyDescent="0.2">
      <c r="A6" s="57" t="s">
        <v>9</v>
      </c>
      <c r="B6" s="45"/>
      <c r="C6" s="45"/>
      <c r="D6" s="44" t="s">
        <v>10</v>
      </c>
      <c r="E6" s="58" t="s">
        <v>11</v>
      </c>
      <c r="F6" s="45"/>
      <c r="G6" s="45"/>
      <c r="H6" s="45"/>
      <c r="I6" s="44" t="s">
        <v>12</v>
      </c>
      <c r="J6" s="44"/>
      <c r="K6" s="45"/>
      <c r="L6" s="45"/>
      <c r="M6" s="46"/>
      <c r="N6" s="23"/>
    </row>
    <row r="7" spans="1:37" x14ac:dyDescent="0.2">
      <c r="A7" s="5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  <c r="N7" s="23"/>
    </row>
    <row r="8" spans="1:37" x14ac:dyDescent="0.2">
      <c r="A8" s="57" t="s">
        <v>13</v>
      </c>
      <c r="B8" s="45"/>
      <c r="C8" s="45"/>
      <c r="D8" s="44"/>
      <c r="E8" s="58" t="s">
        <v>14</v>
      </c>
      <c r="F8" s="45"/>
      <c r="G8" s="59"/>
      <c r="H8" s="45"/>
      <c r="I8" s="44" t="s">
        <v>15</v>
      </c>
      <c r="J8" s="44"/>
      <c r="K8" s="45"/>
      <c r="L8" s="45"/>
      <c r="M8" s="46"/>
      <c r="N8" s="23"/>
    </row>
    <row r="9" spans="1:37" x14ac:dyDescent="0.2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5"/>
      <c r="N9" s="23"/>
    </row>
    <row r="10" spans="1:37" x14ac:dyDescent="0.2">
      <c r="A10" s="1" t="s">
        <v>16</v>
      </c>
      <c r="B10" s="8" t="s">
        <v>17</v>
      </c>
      <c r="C10" s="8" t="s">
        <v>18</v>
      </c>
      <c r="D10" s="8" t="s">
        <v>19</v>
      </c>
      <c r="E10" s="8" t="s">
        <v>20</v>
      </c>
      <c r="F10" s="11" t="s">
        <v>21</v>
      </c>
      <c r="G10" s="13" t="s">
        <v>22</v>
      </c>
      <c r="H10" s="62" t="s">
        <v>23</v>
      </c>
      <c r="I10" s="63"/>
      <c r="J10" s="64"/>
      <c r="K10" s="62" t="s">
        <v>24</v>
      </c>
      <c r="L10" s="64"/>
      <c r="M10" s="20" t="s">
        <v>25</v>
      </c>
      <c r="N10" s="24"/>
    </row>
    <row r="11" spans="1:37" x14ac:dyDescent="0.2">
      <c r="A11" s="2" t="s">
        <v>26</v>
      </c>
      <c r="B11" s="9" t="s">
        <v>26</v>
      </c>
      <c r="C11" s="9" t="s">
        <v>26</v>
      </c>
      <c r="D11" s="10" t="s">
        <v>27</v>
      </c>
      <c r="E11" s="9" t="s">
        <v>26</v>
      </c>
      <c r="F11" s="9" t="s">
        <v>26</v>
      </c>
      <c r="G11" s="14" t="s">
        <v>28</v>
      </c>
      <c r="H11" s="15" t="s">
        <v>29</v>
      </c>
      <c r="I11" s="16" t="s">
        <v>30</v>
      </c>
      <c r="J11" s="17" t="s">
        <v>31</v>
      </c>
      <c r="K11" s="15" t="s">
        <v>22</v>
      </c>
      <c r="L11" s="17" t="s">
        <v>31</v>
      </c>
      <c r="M11" s="21" t="s">
        <v>32</v>
      </c>
      <c r="N11" s="24"/>
      <c r="P11" s="19" t="s">
        <v>33</v>
      </c>
      <c r="Q11" s="19" t="s">
        <v>34</v>
      </c>
      <c r="R11" s="19" t="s">
        <v>35</v>
      </c>
      <c r="S11" s="19" t="s">
        <v>36</v>
      </c>
      <c r="T11" s="19" t="s">
        <v>37</v>
      </c>
      <c r="U11" s="19" t="s">
        <v>38</v>
      </c>
      <c r="V11" s="19" t="s">
        <v>39</v>
      </c>
      <c r="W11" s="19" t="s">
        <v>40</v>
      </c>
      <c r="X11" s="19" t="s">
        <v>41</v>
      </c>
    </row>
    <row r="12" spans="1:37" x14ac:dyDescent="0.2">
      <c r="A12" s="3"/>
      <c r="B12" s="40"/>
      <c r="C12" s="40" t="s">
        <v>42</v>
      </c>
      <c r="D12" s="66" t="s">
        <v>43</v>
      </c>
      <c r="E12" s="67"/>
      <c r="F12" s="67"/>
      <c r="G12" s="67"/>
      <c r="H12" s="26">
        <f>SUM(H13:H15)</f>
        <v>0</v>
      </c>
      <c r="I12" s="26">
        <f>SUM(I13:I15)</f>
        <v>0</v>
      </c>
      <c r="J12" s="26">
        <f>H12+I12</f>
        <v>0</v>
      </c>
      <c r="K12" s="18"/>
      <c r="L12" s="26">
        <f>SUM(L13:L15)</f>
        <v>1.9663000000000002</v>
      </c>
      <c r="M12" s="18"/>
      <c r="P12" s="27">
        <f>IF(Q12="PR",J12,SUM(O13:O15))</f>
        <v>0</v>
      </c>
      <c r="Q12" s="19" t="s">
        <v>44</v>
      </c>
      <c r="R12" s="27">
        <f>IF(Q12="HS",H12,0)</f>
        <v>0</v>
      </c>
      <c r="S12" s="27">
        <f>IF(Q12="HS",I12-P12,0)</f>
        <v>0</v>
      </c>
      <c r="T12" s="27">
        <f>IF(Q12="PS",H12,0)</f>
        <v>0</v>
      </c>
      <c r="U12" s="27">
        <f>IF(Q12="PS",I12-P12,0)</f>
        <v>0</v>
      </c>
      <c r="V12" s="27">
        <f>IF(Q12="MP",H12,0)</f>
        <v>0</v>
      </c>
      <c r="W12" s="27">
        <f>IF(Q12="MP",I12-P12,0)</f>
        <v>0</v>
      </c>
      <c r="X12" s="27">
        <f>IF(Q12="OM",H12,0)</f>
        <v>0</v>
      </c>
      <c r="Y12" s="19"/>
      <c r="AI12" s="27">
        <f>SUM(Z13:Z15)</f>
        <v>0</v>
      </c>
      <c r="AJ12" s="27">
        <f>SUM(AA13:AA15)</f>
        <v>0</v>
      </c>
      <c r="AK12" s="27">
        <f>SUM(AB13:AB15)</f>
        <v>0</v>
      </c>
    </row>
    <row r="13" spans="1:37" x14ac:dyDescent="0.2">
      <c r="A13" s="4" t="s">
        <v>45</v>
      </c>
      <c r="B13" s="4"/>
      <c r="C13" s="4" t="s">
        <v>46</v>
      </c>
      <c r="D13" s="4" t="s">
        <v>47</v>
      </c>
      <c r="E13" s="4" t="s">
        <v>48</v>
      </c>
      <c r="F13" s="12">
        <v>30</v>
      </c>
      <c r="G13" s="12">
        <v>0</v>
      </c>
      <c r="H13" s="12">
        <f>ROUND(F13*AE13,2)</f>
        <v>0</v>
      </c>
      <c r="I13" s="12">
        <f>J13-H13</f>
        <v>0</v>
      </c>
      <c r="J13" s="12">
        <f>ROUND(F13*G13,2)</f>
        <v>0</v>
      </c>
      <c r="K13" s="12">
        <v>3.7810000000000003E-2</v>
      </c>
      <c r="L13" s="12">
        <f>F13*K13</f>
        <v>1.1343000000000001</v>
      </c>
      <c r="M13" s="22" t="s">
        <v>49</v>
      </c>
      <c r="N13" s="22" t="s">
        <v>45</v>
      </c>
      <c r="O13" s="12">
        <f>IF(N13="5",I13,0)</f>
        <v>0</v>
      </c>
      <c r="Z13" s="12">
        <f>IF(AD13=0,J13,0)</f>
        <v>0</v>
      </c>
      <c r="AA13" s="12">
        <f>IF(AD13=15,J13,0)</f>
        <v>0</v>
      </c>
      <c r="AB13" s="12">
        <f>IF(AD13=21,J13,0)</f>
        <v>0</v>
      </c>
      <c r="AD13" s="25">
        <v>15</v>
      </c>
      <c r="AE13" s="25">
        <f>G13*0.332748538011696</f>
        <v>0</v>
      </c>
      <c r="AF13" s="25">
        <f>G13*(1-0.332748538011696)</f>
        <v>0</v>
      </c>
    </row>
    <row r="14" spans="1:37" x14ac:dyDescent="0.2">
      <c r="A14" s="4" t="s">
        <v>50</v>
      </c>
      <c r="B14" s="4"/>
      <c r="C14" s="4" t="s">
        <v>51</v>
      </c>
      <c r="D14" s="4" t="s">
        <v>52</v>
      </c>
      <c r="E14" s="4" t="s">
        <v>53</v>
      </c>
      <c r="F14" s="12">
        <v>13</v>
      </c>
      <c r="G14" s="12">
        <v>0</v>
      </c>
      <c r="H14" s="12">
        <f>ROUND(F14*AE14,2)</f>
        <v>0</v>
      </c>
      <c r="I14" s="12">
        <f>J14-H14</f>
        <v>0</v>
      </c>
      <c r="J14" s="12">
        <f>ROUND(F14*G14,2)</f>
        <v>0</v>
      </c>
      <c r="K14" s="12">
        <v>0</v>
      </c>
      <c r="L14" s="12">
        <f>F14*K14</f>
        <v>0</v>
      </c>
      <c r="M14" s="22" t="s">
        <v>49</v>
      </c>
      <c r="N14" s="22" t="s">
        <v>45</v>
      </c>
      <c r="O14" s="12">
        <f>IF(N14="5",I14,0)</f>
        <v>0</v>
      </c>
      <c r="Z14" s="12">
        <f>IF(AD14=0,J14,0)</f>
        <v>0</v>
      </c>
      <c r="AA14" s="12">
        <f>IF(AD14=15,J14,0)</f>
        <v>0</v>
      </c>
      <c r="AB14" s="12">
        <f>IF(AD14=21,J14,0)</f>
        <v>0</v>
      </c>
      <c r="AD14" s="25">
        <v>15</v>
      </c>
      <c r="AE14" s="25">
        <f>G14*0</f>
        <v>0</v>
      </c>
      <c r="AF14" s="25">
        <f>G14*(1-0)</f>
        <v>0</v>
      </c>
    </row>
    <row r="15" spans="1:37" x14ac:dyDescent="0.2">
      <c r="A15" s="4" t="s">
        <v>54</v>
      </c>
      <c r="B15" s="4"/>
      <c r="C15" s="4" t="s">
        <v>55</v>
      </c>
      <c r="D15" s="4" t="s">
        <v>56</v>
      </c>
      <c r="E15" s="4" t="s">
        <v>53</v>
      </c>
      <c r="F15" s="12">
        <v>13</v>
      </c>
      <c r="G15" s="12">
        <v>0</v>
      </c>
      <c r="H15" s="12">
        <f>ROUND(F15*AE15,2)</f>
        <v>0</v>
      </c>
      <c r="I15" s="12">
        <f>J15-H15</f>
        <v>0</v>
      </c>
      <c r="J15" s="12">
        <f>ROUND(F15*G15,2)</f>
        <v>0</v>
      </c>
      <c r="K15" s="12">
        <v>6.4000000000000001E-2</v>
      </c>
      <c r="L15" s="12">
        <f>F15*K15</f>
        <v>0.83200000000000007</v>
      </c>
      <c r="M15" s="22" t="s">
        <v>49</v>
      </c>
      <c r="N15" s="22" t="s">
        <v>45</v>
      </c>
      <c r="O15" s="12">
        <f>IF(N15="5",I15,0)</f>
        <v>0</v>
      </c>
      <c r="Z15" s="12">
        <f>IF(AD15=0,J15,0)</f>
        <v>0</v>
      </c>
      <c r="AA15" s="12">
        <f>IF(AD15=15,J15,0)</f>
        <v>0</v>
      </c>
      <c r="AB15" s="12">
        <f>IF(AD15=21,J15,0)</f>
        <v>0</v>
      </c>
      <c r="AD15" s="25">
        <v>15</v>
      </c>
      <c r="AE15" s="25">
        <f>G15*0.492171581769437</f>
        <v>0</v>
      </c>
      <c r="AF15" s="25">
        <f>G15*(1-0.492171581769437)</f>
        <v>0</v>
      </c>
    </row>
    <row r="16" spans="1:37" x14ac:dyDescent="0.2">
      <c r="A16" s="5"/>
      <c r="B16" s="41"/>
      <c r="C16" s="41" t="s">
        <v>57</v>
      </c>
      <c r="D16" s="68" t="s">
        <v>58</v>
      </c>
      <c r="E16" s="69"/>
      <c r="F16" s="69"/>
      <c r="G16" s="69"/>
      <c r="H16" s="27">
        <f>SUM(H17:H19)</f>
        <v>0</v>
      </c>
      <c r="I16" s="27">
        <f>SUM(I17:I19)</f>
        <v>0</v>
      </c>
      <c r="J16" s="27">
        <f>H16+I16</f>
        <v>0</v>
      </c>
      <c r="K16" s="19"/>
      <c r="L16" s="27">
        <f>SUM(L17:L19)</f>
        <v>32.187400000000004</v>
      </c>
      <c r="M16" s="19"/>
      <c r="P16" s="27">
        <f>IF(Q16="PR",J16,SUM(O17:O19))</f>
        <v>0</v>
      </c>
      <c r="Q16" s="19" t="s">
        <v>44</v>
      </c>
      <c r="R16" s="27">
        <f>IF(Q16="HS",H16,0)</f>
        <v>0</v>
      </c>
      <c r="S16" s="27">
        <f>IF(Q16="HS",I16-P16,0)</f>
        <v>0</v>
      </c>
      <c r="T16" s="27">
        <f>IF(Q16="PS",H16,0)</f>
        <v>0</v>
      </c>
      <c r="U16" s="27">
        <f>IF(Q16="PS",I16-P16,0)</f>
        <v>0</v>
      </c>
      <c r="V16" s="27">
        <f>IF(Q16="MP",H16,0)</f>
        <v>0</v>
      </c>
      <c r="W16" s="27">
        <f>IF(Q16="MP",I16-P16,0)</f>
        <v>0</v>
      </c>
      <c r="X16" s="27">
        <f>IF(Q16="OM",H16,0)</f>
        <v>0</v>
      </c>
      <c r="Y16" s="19"/>
      <c r="AI16" s="27">
        <f>SUM(Z17:Z19)</f>
        <v>0</v>
      </c>
      <c r="AJ16" s="27">
        <f>SUM(AA17:AA19)</f>
        <v>0</v>
      </c>
      <c r="AK16" s="27">
        <f>SUM(AB17:AB19)</f>
        <v>0</v>
      </c>
    </row>
    <row r="17" spans="1:37" x14ac:dyDescent="0.2">
      <c r="A17" s="4" t="s">
        <v>59</v>
      </c>
      <c r="B17" s="4"/>
      <c r="C17" s="4" t="s">
        <v>60</v>
      </c>
      <c r="D17" s="4" t="s">
        <v>61</v>
      </c>
      <c r="E17" s="4" t="s">
        <v>62</v>
      </c>
      <c r="F17" s="12">
        <v>10</v>
      </c>
      <c r="G17" s="12">
        <v>0</v>
      </c>
      <c r="H17" s="12">
        <f>ROUND(F17*AE17,2)</f>
        <v>0</v>
      </c>
      <c r="I17" s="12">
        <f>J17-H17</f>
        <v>0</v>
      </c>
      <c r="J17" s="12">
        <f>ROUND(F17*G17,2)</f>
        <v>0</v>
      </c>
      <c r="K17" s="12">
        <v>2.5</v>
      </c>
      <c r="L17" s="12">
        <f>F17*K17</f>
        <v>25</v>
      </c>
      <c r="M17" s="22" t="s">
        <v>49</v>
      </c>
      <c r="N17" s="22" t="s">
        <v>45</v>
      </c>
      <c r="O17" s="12">
        <f>IF(N17="5",I17,0)</f>
        <v>0</v>
      </c>
      <c r="Z17" s="12">
        <f>IF(AD17=0,J17,0)</f>
        <v>0</v>
      </c>
      <c r="AA17" s="12">
        <f>IF(AD17=15,J17,0)</f>
        <v>0</v>
      </c>
      <c r="AB17" s="12">
        <f>IF(AD17=21,J17,0)</f>
        <v>0</v>
      </c>
      <c r="AD17" s="25">
        <v>15</v>
      </c>
      <c r="AE17" s="25">
        <f>G17*0.601696180112172</f>
        <v>0</v>
      </c>
      <c r="AF17" s="25">
        <f>G17*(1-0.601696180112172)</f>
        <v>0</v>
      </c>
    </row>
    <row r="18" spans="1:37" x14ac:dyDescent="0.2">
      <c r="A18" s="4" t="s">
        <v>63</v>
      </c>
      <c r="B18" s="4"/>
      <c r="C18" s="4" t="s">
        <v>64</v>
      </c>
      <c r="D18" s="4" t="s">
        <v>65</v>
      </c>
      <c r="E18" s="4" t="s">
        <v>53</v>
      </c>
      <c r="F18" s="12">
        <v>20</v>
      </c>
      <c r="G18" s="12">
        <v>0</v>
      </c>
      <c r="H18" s="12">
        <f>ROUND(F18*AE18,2)</f>
        <v>0</v>
      </c>
      <c r="I18" s="12">
        <f>J18-H18</f>
        <v>0</v>
      </c>
      <c r="J18" s="12">
        <f>ROUND(F18*G18,2)</f>
        <v>0</v>
      </c>
      <c r="K18" s="12">
        <v>9.1819999999999999E-2</v>
      </c>
      <c r="L18" s="12">
        <f>F18*K18</f>
        <v>1.8364</v>
      </c>
      <c r="M18" s="22" t="s">
        <v>49</v>
      </c>
      <c r="N18" s="22" t="s">
        <v>45</v>
      </c>
      <c r="O18" s="12">
        <f>IF(N18="5",I18,0)</f>
        <v>0</v>
      </c>
      <c r="Z18" s="12">
        <f>IF(AD18=0,J18,0)</f>
        <v>0</v>
      </c>
      <c r="AA18" s="12">
        <f>IF(AD18=15,J18,0)</f>
        <v>0</v>
      </c>
      <c r="AB18" s="12">
        <f>IF(AD18=21,J18,0)</f>
        <v>0</v>
      </c>
      <c r="AD18" s="25">
        <v>15</v>
      </c>
      <c r="AE18" s="25">
        <f>G18*0.396268412438625</f>
        <v>0</v>
      </c>
      <c r="AF18" s="25">
        <f>G18*(1-0.396268412438625)</f>
        <v>0</v>
      </c>
    </row>
    <row r="19" spans="1:37" x14ac:dyDescent="0.2">
      <c r="A19" s="4" t="s">
        <v>66</v>
      </c>
      <c r="B19" s="4"/>
      <c r="C19" s="4" t="s">
        <v>67</v>
      </c>
      <c r="D19" s="4" t="s">
        <v>68</v>
      </c>
      <c r="E19" s="4" t="s">
        <v>53</v>
      </c>
      <c r="F19" s="12">
        <v>20</v>
      </c>
      <c r="G19" s="12">
        <v>0</v>
      </c>
      <c r="H19" s="12">
        <f>ROUND(F19*AE19,2)</f>
        <v>0</v>
      </c>
      <c r="I19" s="12">
        <f>J19-H19</f>
        <v>0</v>
      </c>
      <c r="J19" s="12">
        <f>ROUND(F19*G19,2)</f>
        <v>0</v>
      </c>
      <c r="K19" s="12">
        <v>0.26755000000000001</v>
      </c>
      <c r="L19" s="12">
        <f>F19*K19</f>
        <v>5.351</v>
      </c>
      <c r="M19" s="22" t="s">
        <v>49</v>
      </c>
      <c r="N19" s="22" t="s">
        <v>45</v>
      </c>
      <c r="O19" s="12">
        <f>IF(N19="5",I19,0)</f>
        <v>0</v>
      </c>
      <c r="Z19" s="12">
        <f>IF(AD19=0,J19,0)</f>
        <v>0</v>
      </c>
      <c r="AA19" s="12">
        <f>IF(AD19=15,J19,0)</f>
        <v>0</v>
      </c>
      <c r="AB19" s="12">
        <f>IF(AD19=21,J19,0)</f>
        <v>0</v>
      </c>
      <c r="AD19" s="25">
        <v>15</v>
      </c>
      <c r="AE19" s="25">
        <f>G19*0.716487889273356</f>
        <v>0</v>
      </c>
      <c r="AF19" s="25">
        <f>G19*(1-0.716487889273356)</f>
        <v>0</v>
      </c>
    </row>
    <row r="20" spans="1:37" x14ac:dyDescent="0.2">
      <c r="A20" s="5"/>
      <c r="B20" s="41"/>
      <c r="C20" s="41" t="s">
        <v>69</v>
      </c>
      <c r="D20" s="68" t="s">
        <v>70</v>
      </c>
      <c r="E20" s="69"/>
      <c r="F20" s="69"/>
      <c r="G20" s="69"/>
      <c r="H20" s="27">
        <f>SUM(H22:H48)</f>
        <v>0</v>
      </c>
      <c r="I20" s="27">
        <f>SUM(I22:I48)</f>
        <v>0</v>
      </c>
      <c r="J20" s="27">
        <f>SUM(J21:J48)</f>
        <v>0</v>
      </c>
      <c r="K20" s="19"/>
      <c r="L20" s="27">
        <f>SUM(L22:L48)</f>
        <v>6.1536199999999992</v>
      </c>
      <c r="M20" s="19"/>
      <c r="P20" s="27">
        <f>IF(Q20="PR",J20,SUM(O22:O48))</f>
        <v>0</v>
      </c>
      <c r="Q20" s="19" t="s">
        <v>71</v>
      </c>
      <c r="R20" s="27">
        <f>IF(Q20="HS",H20,0)</f>
        <v>0</v>
      </c>
      <c r="S20" s="27">
        <f>IF(Q20="HS",I20-P20,0)</f>
        <v>0</v>
      </c>
      <c r="T20" s="27">
        <f>IF(Q20="PS",H20,0)</f>
        <v>0</v>
      </c>
      <c r="U20" s="27">
        <f>IF(Q20="PS",I20-P20,0)</f>
        <v>0</v>
      </c>
      <c r="V20" s="27">
        <f>IF(Q20="MP",H20,0)</f>
        <v>0</v>
      </c>
      <c r="W20" s="27">
        <f>IF(Q20="MP",I20-P20,0)</f>
        <v>0</v>
      </c>
      <c r="X20" s="27">
        <f>IF(Q20="OM",H20,0)</f>
        <v>0</v>
      </c>
      <c r="Y20" s="19"/>
      <c r="AI20" s="27">
        <f>SUM(Z22:Z48)</f>
        <v>0</v>
      </c>
      <c r="AJ20" s="27">
        <f>SUM(AA22:AA48)</f>
        <v>0</v>
      </c>
      <c r="AK20" s="27">
        <f>SUM(AB22:AB48)</f>
        <v>0</v>
      </c>
    </row>
    <row r="21" spans="1:37" ht="25.5" x14ac:dyDescent="0.2">
      <c r="A21" s="39"/>
      <c r="B21" s="30"/>
      <c r="C21" s="4" t="s">
        <v>72</v>
      </c>
      <c r="D21" s="35" t="s">
        <v>73</v>
      </c>
      <c r="E21" s="4" t="s">
        <v>74</v>
      </c>
      <c r="F21" s="12">
        <v>1</v>
      </c>
      <c r="G21" s="12">
        <v>0</v>
      </c>
      <c r="H21" s="12">
        <v>4.9699999999999996E-3</v>
      </c>
      <c r="I21" s="12">
        <v>4.9699999999999996E-3</v>
      </c>
      <c r="J21" s="12">
        <f>+F21*G21</f>
        <v>0</v>
      </c>
      <c r="K21" s="12">
        <v>4.9699999999999996E-3</v>
      </c>
      <c r="L21" s="12">
        <v>4.9699999999999996E-3</v>
      </c>
      <c r="M21" s="34"/>
      <c r="P21" s="27"/>
      <c r="Q21" s="19"/>
      <c r="R21" s="27"/>
      <c r="S21" s="27"/>
      <c r="T21" s="27"/>
      <c r="U21" s="27"/>
      <c r="V21" s="27"/>
      <c r="W21" s="27"/>
      <c r="X21" s="27"/>
      <c r="Y21" s="19"/>
      <c r="AI21" s="27"/>
      <c r="AJ21" s="27"/>
      <c r="AK21" s="27"/>
    </row>
    <row r="22" spans="1:37" x14ac:dyDescent="0.2">
      <c r="A22" s="36">
        <v>7</v>
      </c>
      <c r="B22" s="4"/>
      <c r="C22" s="4" t="s">
        <v>75</v>
      </c>
      <c r="D22" s="4" t="s">
        <v>76</v>
      </c>
      <c r="E22" s="4" t="s">
        <v>77</v>
      </c>
      <c r="F22" s="12">
        <v>350</v>
      </c>
      <c r="G22" s="12">
        <v>0</v>
      </c>
      <c r="H22" s="12">
        <f t="shared" ref="H22:H48" si="0">ROUND(F22*AE22,2)</f>
        <v>0</v>
      </c>
      <c r="I22" s="12">
        <f t="shared" ref="I22:I48" si="1">J22-H22</f>
        <v>0</v>
      </c>
      <c r="J22" s="12">
        <f t="shared" ref="J22:J48" si="2">ROUND(F22*G22,2)</f>
        <v>0</v>
      </c>
      <c r="K22" s="12">
        <v>4.9699999999999996E-3</v>
      </c>
      <c r="L22" s="12">
        <f t="shared" ref="L22:L48" si="3">F22*K22</f>
        <v>1.7394999999999998</v>
      </c>
      <c r="M22" s="22" t="s">
        <v>49</v>
      </c>
      <c r="N22" s="22" t="s">
        <v>45</v>
      </c>
      <c r="O22" s="12">
        <f t="shared" ref="O22:O48" si="4">IF(N22="5",I22,0)</f>
        <v>0</v>
      </c>
      <c r="Z22" s="12">
        <f t="shared" ref="Z22:Z48" si="5">IF(AD22=0,J22,0)</f>
        <v>0</v>
      </c>
      <c r="AA22" s="12">
        <f t="shared" ref="AA22:AA48" si="6">IF(AD22=15,J22,0)</f>
        <v>0</v>
      </c>
      <c r="AB22" s="12">
        <f t="shared" ref="AB22:AB48" si="7">IF(AD22=21,J22,0)</f>
        <v>0</v>
      </c>
      <c r="AD22" s="25">
        <v>15</v>
      </c>
      <c r="AE22" s="25">
        <f>G22*0</f>
        <v>0</v>
      </c>
      <c r="AF22" s="25">
        <f>G22*(1-0)</f>
        <v>0</v>
      </c>
    </row>
    <row r="23" spans="1:37" x14ac:dyDescent="0.2">
      <c r="A23" s="36">
        <v>8</v>
      </c>
      <c r="B23" s="4"/>
      <c r="C23" s="4" t="s">
        <v>78</v>
      </c>
      <c r="D23" s="4" t="s">
        <v>79</v>
      </c>
      <c r="E23" s="4" t="s">
        <v>77</v>
      </c>
      <c r="F23" s="12">
        <f>56*7</f>
        <v>392</v>
      </c>
      <c r="G23" s="12">
        <v>0</v>
      </c>
      <c r="H23" s="12">
        <f t="shared" si="0"/>
        <v>0</v>
      </c>
      <c r="I23" s="12">
        <f t="shared" si="1"/>
        <v>0</v>
      </c>
      <c r="J23" s="12">
        <f t="shared" si="2"/>
        <v>0</v>
      </c>
      <c r="K23" s="12">
        <v>2.1299999999999999E-3</v>
      </c>
      <c r="L23" s="12">
        <f t="shared" si="3"/>
        <v>0.83495999999999992</v>
      </c>
      <c r="M23" s="22" t="s">
        <v>49</v>
      </c>
      <c r="N23" s="22" t="s">
        <v>45</v>
      </c>
      <c r="O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D23" s="25">
        <v>15</v>
      </c>
      <c r="AE23" s="25">
        <f>G23*0</f>
        <v>0</v>
      </c>
      <c r="AF23" s="25">
        <f>G23*(1-0)</f>
        <v>0</v>
      </c>
    </row>
    <row r="24" spans="1:37" ht="28.5" customHeight="1" x14ac:dyDescent="0.2">
      <c r="A24" s="36">
        <v>9</v>
      </c>
      <c r="B24" s="4"/>
      <c r="C24" s="4" t="s">
        <v>80</v>
      </c>
      <c r="D24" s="35" t="s">
        <v>210</v>
      </c>
      <c r="E24" s="4" t="s">
        <v>81</v>
      </c>
      <c r="F24" s="12">
        <v>20</v>
      </c>
      <c r="G24" s="12">
        <v>0</v>
      </c>
      <c r="H24" s="12">
        <f t="shared" si="0"/>
        <v>0</v>
      </c>
      <c r="I24" s="12">
        <f t="shared" si="1"/>
        <v>0</v>
      </c>
      <c r="J24" s="12">
        <f t="shared" si="2"/>
        <v>0</v>
      </c>
      <c r="K24" s="12">
        <v>4.6600000000000001E-3</v>
      </c>
      <c r="L24" s="12">
        <f t="shared" si="3"/>
        <v>9.3200000000000005E-2</v>
      </c>
      <c r="M24" s="22" t="s">
        <v>49</v>
      </c>
      <c r="N24" s="22" t="s">
        <v>45</v>
      </c>
      <c r="O24" s="12">
        <f t="shared" si="4"/>
        <v>0</v>
      </c>
      <c r="Z24" s="12">
        <f t="shared" si="5"/>
        <v>0</v>
      </c>
      <c r="AA24" s="12">
        <f t="shared" si="6"/>
        <v>0</v>
      </c>
      <c r="AB24" s="12">
        <f t="shared" si="7"/>
        <v>0</v>
      </c>
      <c r="AD24" s="25">
        <v>15</v>
      </c>
      <c r="AE24" s="25">
        <f>G24*0.775655364413189</f>
        <v>0</v>
      </c>
      <c r="AF24" s="25">
        <f>G24*(1-0.775655364413189)</f>
        <v>0</v>
      </c>
    </row>
    <row r="25" spans="1:37" x14ac:dyDescent="0.2">
      <c r="A25" s="36">
        <v>10</v>
      </c>
      <c r="B25" s="4"/>
      <c r="C25" s="4" t="s">
        <v>82</v>
      </c>
      <c r="D25" s="4" t="s">
        <v>83</v>
      </c>
      <c r="E25" s="4" t="s">
        <v>77</v>
      </c>
      <c r="F25" s="12">
        <v>150</v>
      </c>
      <c r="G25" s="12">
        <v>0</v>
      </c>
      <c r="H25" s="12">
        <f t="shared" si="0"/>
        <v>0</v>
      </c>
      <c r="I25" s="12">
        <f t="shared" si="1"/>
        <v>0</v>
      </c>
      <c r="J25" s="12">
        <f t="shared" si="2"/>
        <v>0</v>
      </c>
      <c r="K25" s="12">
        <v>5.3499999999999997E-3</v>
      </c>
      <c r="L25" s="12">
        <f t="shared" si="3"/>
        <v>0.80249999999999999</v>
      </c>
      <c r="M25" s="22" t="s">
        <v>49</v>
      </c>
      <c r="N25" s="22" t="s">
        <v>45</v>
      </c>
      <c r="O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D25" s="25">
        <v>15</v>
      </c>
      <c r="AE25" s="25">
        <f>G25*0.450576900202212</f>
        <v>0</v>
      </c>
      <c r="AF25" s="25">
        <f>G25*(1-0.450576900202212)</f>
        <v>0</v>
      </c>
    </row>
    <row r="26" spans="1:37" x14ac:dyDescent="0.2">
      <c r="A26" s="36">
        <v>11</v>
      </c>
      <c r="B26" s="4"/>
      <c r="C26" s="4" t="s">
        <v>84</v>
      </c>
      <c r="D26" s="4" t="s">
        <v>85</v>
      </c>
      <c r="E26" s="4" t="s">
        <v>77</v>
      </c>
      <c r="F26" s="12">
        <v>80</v>
      </c>
      <c r="G26" s="12">
        <v>0</v>
      </c>
      <c r="H26" s="12">
        <f t="shared" si="0"/>
        <v>0</v>
      </c>
      <c r="I26" s="12">
        <f t="shared" si="1"/>
        <v>0</v>
      </c>
      <c r="J26" s="12">
        <f t="shared" si="2"/>
        <v>0</v>
      </c>
      <c r="K26" s="12">
        <v>3.98E-3</v>
      </c>
      <c r="L26" s="12">
        <f t="shared" si="3"/>
        <v>0.31840000000000002</v>
      </c>
      <c r="M26" s="22" t="s">
        <v>49</v>
      </c>
      <c r="N26" s="22" t="s">
        <v>45</v>
      </c>
      <c r="O26" s="12">
        <f t="shared" si="4"/>
        <v>0</v>
      </c>
      <c r="Z26" s="12">
        <f t="shared" si="5"/>
        <v>0</v>
      </c>
      <c r="AA26" s="12">
        <f t="shared" si="6"/>
        <v>0</v>
      </c>
      <c r="AB26" s="12">
        <f t="shared" si="7"/>
        <v>0</v>
      </c>
      <c r="AD26" s="25">
        <v>15</v>
      </c>
      <c r="AE26" s="25">
        <f>G26*0.380176510522743</f>
        <v>0</v>
      </c>
      <c r="AF26" s="25">
        <f>G26*(1-0.380176510522743)</f>
        <v>0</v>
      </c>
    </row>
    <row r="27" spans="1:37" x14ac:dyDescent="0.2">
      <c r="A27" s="36">
        <v>12</v>
      </c>
      <c r="B27" s="4"/>
      <c r="C27" s="4" t="s">
        <v>84</v>
      </c>
      <c r="D27" s="4" t="s">
        <v>86</v>
      </c>
      <c r="E27" s="4" t="s">
        <v>77</v>
      </c>
      <c r="F27" s="12">
        <v>200</v>
      </c>
      <c r="G27" s="12">
        <v>0</v>
      </c>
      <c r="H27" s="12">
        <f>ROUND(F27*AE27,2)</f>
        <v>0</v>
      </c>
      <c r="I27" s="12">
        <f>J27-H27</f>
        <v>0</v>
      </c>
      <c r="J27" s="12">
        <f>ROUND(F27*G27,2)</f>
        <v>0</v>
      </c>
      <c r="K27" s="12">
        <v>3.98E-3</v>
      </c>
      <c r="L27" s="12">
        <f>F27*K27</f>
        <v>0.79600000000000004</v>
      </c>
      <c r="M27" s="22" t="s">
        <v>49</v>
      </c>
      <c r="N27" s="22" t="s">
        <v>45</v>
      </c>
      <c r="O27" s="12">
        <f>IF(N27="5",I27,0)</f>
        <v>0</v>
      </c>
      <c r="Z27" s="12">
        <f>IF(AD27=0,J27,0)</f>
        <v>0</v>
      </c>
      <c r="AA27" s="12">
        <f>IF(AD27=15,J27,0)</f>
        <v>0</v>
      </c>
      <c r="AB27" s="12">
        <f>IF(AD27=21,J27,0)</f>
        <v>0</v>
      </c>
      <c r="AD27" s="25">
        <v>15</v>
      </c>
      <c r="AE27" s="25">
        <f>G27*0.380176510522743</f>
        <v>0</v>
      </c>
      <c r="AF27" s="25">
        <f>G27*(1-0.380176510522743)</f>
        <v>0</v>
      </c>
    </row>
    <row r="28" spans="1:37" x14ac:dyDescent="0.2">
      <c r="A28" s="36">
        <v>13</v>
      </c>
      <c r="B28" s="4"/>
      <c r="C28" s="4" t="s">
        <v>87</v>
      </c>
      <c r="D28" s="4" t="s">
        <v>88</v>
      </c>
      <c r="E28" s="4" t="s">
        <v>77</v>
      </c>
      <c r="F28" s="12">
        <v>20</v>
      </c>
      <c r="G28" s="12">
        <v>0</v>
      </c>
      <c r="H28" s="12">
        <f t="shared" si="0"/>
        <v>0</v>
      </c>
      <c r="I28" s="12">
        <f t="shared" si="1"/>
        <v>0</v>
      </c>
      <c r="J28" s="12">
        <f t="shared" si="2"/>
        <v>0</v>
      </c>
      <c r="K28" s="12">
        <v>4.0099999999999997E-3</v>
      </c>
      <c r="L28" s="12">
        <f t="shared" si="3"/>
        <v>8.0199999999999994E-2</v>
      </c>
      <c r="M28" s="22" t="s">
        <v>49</v>
      </c>
      <c r="N28" s="22" t="s">
        <v>45</v>
      </c>
      <c r="O28" s="12">
        <f t="shared" si="4"/>
        <v>0</v>
      </c>
      <c r="Z28" s="12">
        <f t="shared" si="5"/>
        <v>0</v>
      </c>
      <c r="AA28" s="12">
        <f t="shared" si="6"/>
        <v>0</v>
      </c>
      <c r="AB28" s="12">
        <f t="shared" si="7"/>
        <v>0</v>
      </c>
      <c r="AD28" s="25">
        <v>15</v>
      </c>
      <c r="AE28" s="25">
        <f>G28*0.250158013544018</f>
        <v>0</v>
      </c>
      <c r="AF28" s="25">
        <f>G28*(1-0.250158013544018)</f>
        <v>0</v>
      </c>
    </row>
    <row r="29" spans="1:37" x14ac:dyDescent="0.2">
      <c r="A29" s="36">
        <v>14</v>
      </c>
      <c r="B29" s="4"/>
      <c r="C29" s="4" t="s">
        <v>84</v>
      </c>
      <c r="D29" s="4" t="s">
        <v>89</v>
      </c>
      <c r="E29" s="4" t="s">
        <v>77</v>
      </c>
      <c r="F29" s="12">
        <v>270</v>
      </c>
      <c r="G29" s="12">
        <v>0</v>
      </c>
      <c r="H29" s="12">
        <f t="shared" si="0"/>
        <v>0</v>
      </c>
      <c r="I29" s="12">
        <f t="shared" si="1"/>
        <v>0</v>
      </c>
      <c r="J29" s="12">
        <f t="shared" si="2"/>
        <v>0</v>
      </c>
      <c r="K29" s="12">
        <v>3.98E-3</v>
      </c>
      <c r="L29" s="12">
        <f t="shared" si="3"/>
        <v>1.0746</v>
      </c>
      <c r="M29" s="22" t="s">
        <v>49</v>
      </c>
      <c r="N29" s="22" t="s">
        <v>45</v>
      </c>
      <c r="O29" s="12">
        <f t="shared" si="4"/>
        <v>0</v>
      </c>
      <c r="Z29" s="12">
        <f t="shared" si="5"/>
        <v>0</v>
      </c>
      <c r="AA29" s="12">
        <f t="shared" si="6"/>
        <v>0</v>
      </c>
      <c r="AB29" s="12">
        <f t="shared" si="7"/>
        <v>0</v>
      </c>
      <c r="AD29" s="25">
        <v>15</v>
      </c>
      <c r="AE29" s="25">
        <f>G29*0.380176510522743</f>
        <v>0</v>
      </c>
      <c r="AF29" s="25">
        <f>G29*(1-0.380176510522743)</f>
        <v>0</v>
      </c>
    </row>
    <row r="30" spans="1:37" x14ac:dyDescent="0.2">
      <c r="A30" s="36">
        <v>15</v>
      </c>
      <c r="B30" s="4"/>
      <c r="C30" s="4" t="s">
        <v>90</v>
      </c>
      <c r="D30" s="4" t="s">
        <v>91</v>
      </c>
      <c r="E30" s="4" t="s">
        <v>77</v>
      </c>
      <c r="F30" s="12">
        <v>170</v>
      </c>
      <c r="G30" s="12">
        <v>0</v>
      </c>
      <c r="H30" s="12">
        <f t="shared" si="0"/>
        <v>0</v>
      </c>
      <c r="I30" s="12">
        <f t="shared" si="1"/>
        <v>0</v>
      </c>
      <c r="J30" s="12">
        <f t="shared" si="2"/>
        <v>0</v>
      </c>
      <c r="K30" s="12">
        <v>2.7999999999999998E-4</v>
      </c>
      <c r="L30" s="12">
        <f t="shared" si="3"/>
        <v>4.7599999999999996E-2</v>
      </c>
      <c r="M30" s="22" t="s">
        <v>49</v>
      </c>
      <c r="N30" s="22" t="s">
        <v>45</v>
      </c>
      <c r="O30" s="12">
        <f t="shared" si="4"/>
        <v>0</v>
      </c>
      <c r="Z30" s="12">
        <f t="shared" si="5"/>
        <v>0</v>
      </c>
      <c r="AA30" s="12">
        <f t="shared" si="6"/>
        <v>0</v>
      </c>
      <c r="AB30" s="12">
        <f t="shared" si="7"/>
        <v>0</v>
      </c>
      <c r="AD30" s="25">
        <v>15</v>
      </c>
      <c r="AE30" s="25">
        <f>G30*0.11478102189781</f>
        <v>0</v>
      </c>
      <c r="AF30" s="25">
        <f>G30*(1-0.11478102189781)</f>
        <v>0</v>
      </c>
    </row>
    <row r="31" spans="1:37" x14ac:dyDescent="0.2">
      <c r="A31" s="36">
        <v>16</v>
      </c>
      <c r="B31" s="4"/>
      <c r="C31" s="4" t="s">
        <v>92</v>
      </c>
      <c r="D31" s="4" t="s">
        <v>93</v>
      </c>
      <c r="E31" s="4" t="s">
        <v>77</v>
      </c>
      <c r="F31" s="12">
        <v>100</v>
      </c>
      <c r="G31" s="12">
        <v>0</v>
      </c>
      <c r="H31" s="12">
        <f t="shared" si="0"/>
        <v>0</v>
      </c>
      <c r="I31" s="12">
        <f t="shared" si="1"/>
        <v>0</v>
      </c>
      <c r="J31" s="12">
        <f t="shared" si="2"/>
        <v>0</v>
      </c>
      <c r="K31" s="12">
        <v>2.7999999999999998E-4</v>
      </c>
      <c r="L31" s="12">
        <f t="shared" si="3"/>
        <v>2.7999999999999997E-2</v>
      </c>
      <c r="M31" s="22" t="s">
        <v>49</v>
      </c>
      <c r="N31" s="22" t="s">
        <v>45</v>
      </c>
      <c r="O31" s="12">
        <f t="shared" si="4"/>
        <v>0</v>
      </c>
      <c r="Z31" s="12">
        <f t="shared" si="5"/>
        <v>0</v>
      </c>
      <c r="AA31" s="12">
        <f t="shared" si="6"/>
        <v>0</v>
      </c>
      <c r="AB31" s="12">
        <f t="shared" si="7"/>
        <v>0</v>
      </c>
      <c r="AD31" s="25">
        <v>15</v>
      </c>
      <c r="AE31" s="25">
        <f>G31*0.0944586274215348</f>
        <v>0</v>
      </c>
      <c r="AF31" s="25">
        <f>G31*(1-0.0944586274215348)</f>
        <v>0</v>
      </c>
    </row>
    <row r="32" spans="1:37" x14ac:dyDescent="0.2">
      <c r="A32" s="36">
        <v>16</v>
      </c>
      <c r="B32" s="4"/>
      <c r="C32" s="4" t="s">
        <v>92</v>
      </c>
      <c r="D32" s="4" t="s">
        <v>94</v>
      </c>
      <c r="E32" s="4" t="s">
        <v>77</v>
      </c>
      <c r="F32" s="12">
        <v>470</v>
      </c>
      <c r="G32" s="12">
        <v>0</v>
      </c>
      <c r="H32" s="12">
        <f>ROUND(F32*AE32,2)</f>
        <v>0</v>
      </c>
      <c r="I32" s="12">
        <f>J32-H32</f>
        <v>0</v>
      </c>
      <c r="J32" s="12">
        <f>ROUND(F32*G32,2)</f>
        <v>0</v>
      </c>
      <c r="K32" s="12">
        <v>2.7999999999999998E-4</v>
      </c>
      <c r="L32" s="12">
        <f>F32*K32</f>
        <v>0.13159999999999999</v>
      </c>
      <c r="M32" s="22" t="s">
        <v>49</v>
      </c>
      <c r="N32" s="22" t="s">
        <v>45</v>
      </c>
      <c r="O32" s="12">
        <f>IF(N32="5",I32,0)</f>
        <v>0</v>
      </c>
      <c r="Z32" s="12">
        <f>IF(AD32=0,J32,0)</f>
        <v>0</v>
      </c>
      <c r="AA32" s="12">
        <f>IF(AD32=15,J32,0)</f>
        <v>0</v>
      </c>
      <c r="AB32" s="12">
        <f>IF(AD32=21,J32,0)</f>
        <v>0</v>
      </c>
      <c r="AD32" s="25">
        <v>15</v>
      </c>
      <c r="AE32" s="25">
        <f>G32*0.0944586274215348</f>
        <v>0</v>
      </c>
      <c r="AF32" s="25">
        <f>G32*(1-0.0944586274215348)</f>
        <v>0</v>
      </c>
    </row>
    <row r="33" spans="1:32" x14ac:dyDescent="0.2">
      <c r="A33" s="36">
        <v>16</v>
      </c>
      <c r="B33" s="4"/>
      <c r="C33" s="4" t="s">
        <v>92</v>
      </c>
      <c r="D33" s="4" t="s">
        <v>95</v>
      </c>
      <c r="E33" s="4" t="s">
        <v>77</v>
      </c>
      <c r="F33" s="12">
        <v>100</v>
      </c>
      <c r="G33" s="12">
        <v>0</v>
      </c>
      <c r="H33" s="12">
        <f>ROUND(F33*AE33,2)</f>
        <v>0</v>
      </c>
      <c r="I33" s="12">
        <f>J33-H33</f>
        <v>0</v>
      </c>
      <c r="J33" s="12">
        <f>ROUND(F33*G33,2)</f>
        <v>0</v>
      </c>
      <c r="K33" s="12">
        <v>2.7999999999999998E-4</v>
      </c>
      <c r="L33" s="12">
        <f>F33*K33</f>
        <v>2.7999999999999997E-2</v>
      </c>
      <c r="M33" s="22" t="s">
        <v>49</v>
      </c>
      <c r="N33" s="22" t="s">
        <v>45</v>
      </c>
      <c r="O33" s="12">
        <f>IF(N33="5",I33,0)</f>
        <v>0</v>
      </c>
      <c r="Z33" s="12">
        <f>IF(AD33=0,J33,0)</f>
        <v>0</v>
      </c>
      <c r="AA33" s="12">
        <f>IF(AD33=15,J33,0)</f>
        <v>0</v>
      </c>
      <c r="AB33" s="12">
        <f>IF(AD33=21,J33,0)</f>
        <v>0</v>
      </c>
      <c r="AD33" s="25">
        <v>15</v>
      </c>
      <c r="AE33" s="25">
        <f>G33*0.0944586274215348</f>
        <v>0</v>
      </c>
      <c r="AF33" s="25">
        <f>G33*(1-0.0944586274215348)</f>
        <v>0</v>
      </c>
    </row>
    <row r="34" spans="1:32" x14ac:dyDescent="0.2">
      <c r="A34" s="36">
        <v>19</v>
      </c>
      <c r="B34" s="4"/>
      <c r="C34" s="4" t="s">
        <v>96</v>
      </c>
      <c r="D34" s="4" t="s">
        <v>97</v>
      </c>
      <c r="E34" s="4" t="s">
        <v>77</v>
      </c>
      <c r="F34" s="12">
        <v>170</v>
      </c>
      <c r="G34" s="12">
        <v>0</v>
      </c>
      <c r="H34" s="12">
        <f t="shared" si="0"/>
        <v>0</v>
      </c>
      <c r="I34" s="12">
        <f t="shared" si="1"/>
        <v>0</v>
      </c>
      <c r="J34" s="12">
        <f t="shared" si="2"/>
        <v>0</v>
      </c>
      <c r="K34" s="12">
        <v>2.0000000000000002E-5</v>
      </c>
      <c r="L34" s="12">
        <f t="shared" si="3"/>
        <v>3.4000000000000002E-3</v>
      </c>
      <c r="M34" s="22" t="s">
        <v>49</v>
      </c>
      <c r="N34" s="22" t="s">
        <v>45</v>
      </c>
      <c r="O34" s="12">
        <f t="shared" si="4"/>
        <v>0</v>
      </c>
      <c r="Z34" s="12">
        <f t="shared" si="5"/>
        <v>0</v>
      </c>
      <c r="AA34" s="12">
        <f t="shared" si="6"/>
        <v>0</v>
      </c>
      <c r="AB34" s="12">
        <f t="shared" si="7"/>
        <v>0</v>
      </c>
      <c r="AD34" s="25">
        <v>15</v>
      </c>
      <c r="AE34" s="25">
        <f>G34*0.287</f>
        <v>0</v>
      </c>
      <c r="AF34" s="25">
        <f>G34*(1-0.287)</f>
        <v>0</v>
      </c>
    </row>
    <row r="35" spans="1:32" x14ac:dyDescent="0.2">
      <c r="A35" s="36">
        <v>20</v>
      </c>
      <c r="B35" s="4"/>
      <c r="C35" s="4" t="s">
        <v>98</v>
      </c>
      <c r="D35" s="4" t="s">
        <v>97</v>
      </c>
      <c r="E35" s="4" t="s">
        <v>77</v>
      </c>
      <c r="F35" s="12">
        <v>100</v>
      </c>
      <c r="G35" s="12">
        <v>0</v>
      </c>
      <c r="H35" s="12">
        <f t="shared" si="0"/>
        <v>0</v>
      </c>
      <c r="I35" s="12">
        <f t="shared" si="1"/>
        <v>0</v>
      </c>
      <c r="J35" s="12">
        <f t="shared" si="2"/>
        <v>0</v>
      </c>
      <c r="K35" s="12">
        <v>5.0000000000000002E-5</v>
      </c>
      <c r="L35" s="12">
        <f t="shared" si="3"/>
        <v>5.0000000000000001E-3</v>
      </c>
      <c r="M35" s="22" t="s">
        <v>49</v>
      </c>
      <c r="N35" s="22" t="s">
        <v>45</v>
      </c>
      <c r="O35" s="12">
        <f t="shared" si="4"/>
        <v>0</v>
      </c>
      <c r="Z35" s="12">
        <f t="shared" si="5"/>
        <v>0</v>
      </c>
      <c r="AA35" s="12">
        <f t="shared" si="6"/>
        <v>0</v>
      </c>
      <c r="AB35" s="12">
        <f t="shared" si="7"/>
        <v>0</v>
      </c>
      <c r="AD35" s="25">
        <v>15</v>
      </c>
      <c r="AE35" s="25">
        <f>G35*0.406993407853253</f>
        <v>0</v>
      </c>
      <c r="AF35" s="25">
        <f>G35*(1-0.406993407853253)</f>
        <v>0</v>
      </c>
    </row>
    <row r="36" spans="1:32" x14ac:dyDescent="0.2">
      <c r="A36" s="36">
        <v>21</v>
      </c>
      <c r="B36" s="4"/>
      <c r="C36" s="4" t="s">
        <v>99</v>
      </c>
      <c r="D36" s="4" t="s">
        <v>100</v>
      </c>
      <c r="E36" s="4" t="s">
        <v>77</v>
      </c>
      <c r="F36" s="12">
        <v>470</v>
      </c>
      <c r="G36" s="12">
        <v>0</v>
      </c>
      <c r="H36" s="12">
        <f t="shared" si="0"/>
        <v>0</v>
      </c>
      <c r="I36" s="12">
        <f t="shared" si="1"/>
        <v>0</v>
      </c>
      <c r="J36" s="12">
        <f t="shared" si="2"/>
        <v>0</v>
      </c>
      <c r="K36" s="12">
        <v>3.0000000000000001E-5</v>
      </c>
      <c r="L36" s="12">
        <f t="shared" si="3"/>
        <v>1.41E-2</v>
      </c>
      <c r="M36" s="22" t="s">
        <v>49</v>
      </c>
      <c r="N36" s="22" t="s">
        <v>45</v>
      </c>
      <c r="O36" s="12">
        <f t="shared" si="4"/>
        <v>0</v>
      </c>
      <c r="Z36" s="12">
        <f t="shared" si="5"/>
        <v>0</v>
      </c>
      <c r="AA36" s="12">
        <f t="shared" si="6"/>
        <v>0</v>
      </c>
      <c r="AB36" s="12">
        <f t="shared" si="7"/>
        <v>0</v>
      </c>
      <c r="AD36" s="25">
        <v>15</v>
      </c>
      <c r="AE36" s="25">
        <f>G36*0.370546737213404</f>
        <v>0</v>
      </c>
      <c r="AF36" s="25">
        <f>G36*(1-0.370546737213404)</f>
        <v>0</v>
      </c>
    </row>
    <row r="37" spans="1:32" x14ac:dyDescent="0.2">
      <c r="A37" s="36">
        <v>23</v>
      </c>
      <c r="B37" s="4"/>
      <c r="C37" s="4" t="s">
        <v>101</v>
      </c>
      <c r="D37" s="4" t="s">
        <v>102</v>
      </c>
      <c r="E37" s="4" t="s">
        <v>103</v>
      </c>
      <c r="F37" s="12">
        <v>1</v>
      </c>
      <c r="G37" s="12">
        <v>0</v>
      </c>
      <c r="H37" s="12">
        <f t="shared" si="0"/>
        <v>0</v>
      </c>
      <c r="I37" s="12">
        <f t="shared" si="1"/>
        <v>0</v>
      </c>
      <c r="J37" s="12">
        <f t="shared" si="2"/>
        <v>0</v>
      </c>
      <c r="K37" s="12">
        <v>1.2E-4</v>
      </c>
      <c r="L37" s="12">
        <f t="shared" si="3"/>
        <v>1.2E-4</v>
      </c>
      <c r="M37" s="22" t="s">
        <v>49</v>
      </c>
      <c r="N37" s="22" t="s">
        <v>45</v>
      </c>
      <c r="O37" s="12">
        <f t="shared" si="4"/>
        <v>0</v>
      </c>
      <c r="Z37" s="12">
        <f t="shared" si="5"/>
        <v>0</v>
      </c>
      <c r="AA37" s="12">
        <f t="shared" si="6"/>
        <v>0</v>
      </c>
      <c r="AB37" s="12">
        <f t="shared" si="7"/>
        <v>0</v>
      </c>
      <c r="AD37" s="25">
        <v>15</v>
      </c>
      <c r="AE37" s="25">
        <f>G37*0.671533180778032</f>
        <v>0</v>
      </c>
      <c r="AF37" s="25">
        <f>G37*(1-0.671533180778032)</f>
        <v>0</v>
      </c>
    </row>
    <row r="38" spans="1:32" x14ac:dyDescent="0.2">
      <c r="A38" s="36">
        <v>24</v>
      </c>
      <c r="B38" s="4"/>
      <c r="C38" s="4" t="s">
        <v>104</v>
      </c>
      <c r="D38" s="4" t="s">
        <v>105</v>
      </c>
      <c r="E38" s="4" t="s">
        <v>103</v>
      </c>
      <c r="F38" s="12">
        <v>1</v>
      </c>
      <c r="G38" s="12">
        <v>0</v>
      </c>
      <c r="H38" s="12">
        <f t="shared" si="0"/>
        <v>0</v>
      </c>
      <c r="I38" s="12">
        <f t="shared" si="1"/>
        <v>0</v>
      </c>
      <c r="J38" s="12">
        <f t="shared" si="2"/>
        <v>0</v>
      </c>
      <c r="K38" s="12">
        <v>4.0000000000000002E-4</v>
      </c>
      <c r="L38" s="12">
        <f t="shared" si="3"/>
        <v>4.0000000000000002E-4</v>
      </c>
      <c r="M38" s="22" t="s">
        <v>49</v>
      </c>
      <c r="N38" s="22" t="s">
        <v>45</v>
      </c>
      <c r="O38" s="12">
        <f t="shared" si="4"/>
        <v>0</v>
      </c>
      <c r="Z38" s="12">
        <f t="shared" si="5"/>
        <v>0</v>
      </c>
      <c r="AA38" s="12">
        <f t="shared" si="6"/>
        <v>0</v>
      </c>
      <c r="AB38" s="12">
        <f t="shared" si="7"/>
        <v>0</v>
      </c>
      <c r="AD38" s="25">
        <v>15</v>
      </c>
      <c r="AE38" s="25">
        <f>G38*0.815019841269841</f>
        <v>0</v>
      </c>
      <c r="AF38" s="25">
        <f>G38*(1-0.815019841269841)</f>
        <v>0</v>
      </c>
    </row>
    <row r="39" spans="1:32" x14ac:dyDescent="0.2">
      <c r="A39" s="36">
        <v>25</v>
      </c>
      <c r="B39" s="4"/>
      <c r="C39" s="4" t="s">
        <v>106</v>
      </c>
      <c r="D39" s="4" t="s">
        <v>107</v>
      </c>
      <c r="E39" s="4" t="s">
        <v>103</v>
      </c>
      <c r="F39" s="12">
        <v>1</v>
      </c>
      <c r="G39" s="12">
        <v>0</v>
      </c>
      <c r="H39" s="12">
        <f t="shared" si="0"/>
        <v>0</v>
      </c>
      <c r="I39" s="12">
        <f t="shared" si="1"/>
        <v>0</v>
      </c>
      <c r="J39" s="12">
        <f t="shared" si="2"/>
        <v>0</v>
      </c>
      <c r="K39" s="12">
        <v>6.3000000000000003E-4</v>
      </c>
      <c r="L39" s="12">
        <f t="shared" si="3"/>
        <v>6.3000000000000003E-4</v>
      </c>
      <c r="M39" s="22" t="s">
        <v>49</v>
      </c>
      <c r="N39" s="22" t="s">
        <v>45</v>
      </c>
      <c r="O39" s="12">
        <f t="shared" si="4"/>
        <v>0</v>
      </c>
      <c r="Z39" s="12">
        <f t="shared" si="5"/>
        <v>0</v>
      </c>
      <c r="AA39" s="12">
        <f t="shared" si="6"/>
        <v>0</v>
      </c>
      <c r="AB39" s="12">
        <f t="shared" si="7"/>
        <v>0</v>
      </c>
      <c r="AD39" s="25">
        <v>15</v>
      </c>
      <c r="AE39" s="25">
        <f>G39*0.531538896924722</f>
        <v>0</v>
      </c>
      <c r="AF39" s="25">
        <f>G39*(1-0.531538896924722)</f>
        <v>0</v>
      </c>
    </row>
    <row r="40" spans="1:32" x14ac:dyDescent="0.2">
      <c r="A40" s="36">
        <v>26</v>
      </c>
      <c r="B40" s="4"/>
      <c r="C40" s="4" t="s">
        <v>108</v>
      </c>
      <c r="D40" s="4" t="s">
        <v>109</v>
      </c>
      <c r="E40" s="4" t="s">
        <v>103</v>
      </c>
      <c r="F40" s="12">
        <v>2</v>
      </c>
      <c r="G40" s="12">
        <v>0</v>
      </c>
      <c r="H40" s="12">
        <f t="shared" si="0"/>
        <v>0</v>
      </c>
      <c r="I40" s="12">
        <f t="shared" si="1"/>
        <v>0</v>
      </c>
      <c r="J40" s="12">
        <f t="shared" si="2"/>
        <v>0</v>
      </c>
      <c r="K40" s="12">
        <v>5.2999999999999998E-4</v>
      </c>
      <c r="L40" s="12">
        <f t="shared" si="3"/>
        <v>1.06E-3</v>
      </c>
      <c r="M40" s="22" t="s">
        <v>49</v>
      </c>
      <c r="N40" s="22" t="s">
        <v>45</v>
      </c>
      <c r="O40" s="12">
        <f t="shared" si="4"/>
        <v>0</v>
      </c>
      <c r="Z40" s="12">
        <f t="shared" si="5"/>
        <v>0</v>
      </c>
      <c r="AA40" s="12">
        <f t="shared" si="6"/>
        <v>0</v>
      </c>
      <c r="AB40" s="12">
        <f t="shared" si="7"/>
        <v>0</v>
      </c>
      <c r="AD40" s="25">
        <v>15</v>
      </c>
      <c r="AE40" s="25">
        <f>G40*0</f>
        <v>0</v>
      </c>
      <c r="AF40" s="25">
        <f>G40*(1-0)</f>
        <v>0</v>
      </c>
    </row>
    <row r="41" spans="1:32" x14ac:dyDescent="0.2">
      <c r="A41" s="36">
        <v>27</v>
      </c>
      <c r="B41" s="4"/>
      <c r="C41" s="4" t="s">
        <v>110</v>
      </c>
      <c r="D41" s="4" t="s">
        <v>111</v>
      </c>
      <c r="E41" s="4" t="s">
        <v>103</v>
      </c>
      <c r="F41" s="12">
        <v>2</v>
      </c>
      <c r="G41" s="12">
        <v>0</v>
      </c>
      <c r="H41" s="12">
        <f t="shared" si="0"/>
        <v>0</v>
      </c>
      <c r="I41" s="12">
        <f t="shared" si="1"/>
        <v>0</v>
      </c>
      <c r="J41" s="12">
        <f t="shared" si="2"/>
        <v>0</v>
      </c>
      <c r="K41" s="12">
        <v>6.8999999999999997E-4</v>
      </c>
      <c r="L41" s="12">
        <f t="shared" si="3"/>
        <v>1.3799999999999999E-3</v>
      </c>
      <c r="M41" s="22" t="s">
        <v>49</v>
      </c>
      <c r="N41" s="22" t="s">
        <v>45</v>
      </c>
      <c r="O41" s="12">
        <f t="shared" si="4"/>
        <v>0</v>
      </c>
      <c r="Z41" s="12">
        <f t="shared" si="5"/>
        <v>0</v>
      </c>
      <c r="AA41" s="12">
        <f t="shared" si="6"/>
        <v>0</v>
      </c>
      <c r="AB41" s="12">
        <f t="shared" si="7"/>
        <v>0</v>
      </c>
      <c r="AD41" s="25">
        <v>15</v>
      </c>
      <c r="AE41" s="25">
        <f>G41*0</f>
        <v>0</v>
      </c>
      <c r="AF41" s="25">
        <f>G41*(1-0)</f>
        <v>0</v>
      </c>
    </row>
    <row r="42" spans="1:32" x14ac:dyDescent="0.2">
      <c r="A42" s="36">
        <v>28</v>
      </c>
      <c r="B42" s="4"/>
      <c r="C42" s="4" t="s">
        <v>112</v>
      </c>
      <c r="D42" s="4" t="s">
        <v>113</v>
      </c>
      <c r="E42" s="4" t="s">
        <v>103</v>
      </c>
      <c r="F42" s="12">
        <v>2</v>
      </c>
      <c r="G42" s="12">
        <v>0</v>
      </c>
      <c r="H42" s="12">
        <f t="shared" si="0"/>
        <v>0</v>
      </c>
      <c r="I42" s="12">
        <f t="shared" si="1"/>
        <v>0</v>
      </c>
      <c r="J42" s="12">
        <f t="shared" si="2"/>
        <v>0</v>
      </c>
      <c r="K42" s="12">
        <v>2.0000000000000001E-4</v>
      </c>
      <c r="L42" s="12">
        <f t="shared" si="3"/>
        <v>4.0000000000000002E-4</v>
      </c>
      <c r="M42" s="22" t="s">
        <v>49</v>
      </c>
      <c r="N42" s="22" t="s">
        <v>45</v>
      </c>
      <c r="O42" s="12">
        <f t="shared" si="4"/>
        <v>0</v>
      </c>
      <c r="Z42" s="12">
        <f t="shared" si="5"/>
        <v>0</v>
      </c>
      <c r="AA42" s="12">
        <f t="shared" si="6"/>
        <v>0</v>
      </c>
      <c r="AB42" s="12">
        <f t="shared" si="7"/>
        <v>0</v>
      </c>
      <c r="AD42" s="25">
        <v>15</v>
      </c>
      <c r="AE42" s="25">
        <f>G42*0.674716049382716</f>
        <v>0</v>
      </c>
      <c r="AF42" s="25">
        <f>G42*(1-0.674716049382716)</f>
        <v>0</v>
      </c>
    </row>
    <row r="43" spans="1:32" x14ac:dyDescent="0.2">
      <c r="A43" s="36">
        <v>29</v>
      </c>
      <c r="B43" s="4"/>
      <c r="C43" s="4" t="s">
        <v>114</v>
      </c>
      <c r="D43" s="4" t="s">
        <v>115</v>
      </c>
      <c r="E43" s="4" t="s">
        <v>103</v>
      </c>
      <c r="F43" s="12">
        <v>1</v>
      </c>
      <c r="G43" s="12">
        <v>0</v>
      </c>
      <c r="H43" s="12">
        <f t="shared" si="0"/>
        <v>0</v>
      </c>
      <c r="I43" s="12">
        <f t="shared" si="1"/>
        <v>0</v>
      </c>
      <c r="J43" s="12">
        <f t="shared" si="2"/>
        <v>0</v>
      </c>
      <c r="K43" s="12">
        <v>7.2199999999999999E-3</v>
      </c>
      <c r="L43" s="12">
        <f t="shared" si="3"/>
        <v>7.2199999999999999E-3</v>
      </c>
      <c r="M43" s="22" t="s">
        <v>49</v>
      </c>
      <c r="N43" s="22" t="s">
        <v>45</v>
      </c>
      <c r="O43" s="12">
        <f t="shared" si="4"/>
        <v>0</v>
      </c>
      <c r="Z43" s="12">
        <f t="shared" si="5"/>
        <v>0</v>
      </c>
      <c r="AA43" s="12">
        <f t="shared" si="6"/>
        <v>0</v>
      </c>
      <c r="AB43" s="12">
        <f t="shared" si="7"/>
        <v>0</v>
      </c>
      <c r="AD43" s="25">
        <v>15</v>
      </c>
      <c r="AE43" s="25">
        <f>G43*0</f>
        <v>0</v>
      </c>
      <c r="AF43" s="25">
        <f>G43*(1-0)</f>
        <v>0</v>
      </c>
    </row>
    <row r="44" spans="1:32" x14ac:dyDescent="0.2">
      <c r="A44" s="36">
        <v>30</v>
      </c>
      <c r="B44" s="4"/>
      <c r="C44" s="4" t="s">
        <v>116</v>
      </c>
      <c r="D44" s="4" t="s">
        <v>117</v>
      </c>
      <c r="E44" s="4" t="s">
        <v>103</v>
      </c>
      <c r="F44" s="12">
        <v>1</v>
      </c>
      <c r="G44" s="12">
        <v>0</v>
      </c>
      <c r="H44" s="12">
        <f t="shared" si="0"/>
        <v>0</v>
      </c>
      <c r="I44" s="12">
        <f t="shared" si="1"/>
        <v>0</v>
      </c>
      <c r="J44" s="12">
        <f t="shared" si="2"/>
        <v>0</v>
      </c>
      <c r="K44" s="12">
        <v>3.0000000000000001E-5</v>
      </c>
      <c r="L44" s="12">
        <f t="shared" si="3"/>
        <v>3.0000000000000001E-5</v>
      </c>
      <c r="M44" s="22" t="s">
        <v>49</v>
      </c>
      <c r="N44" s="22" t="s">
        <v>45</v>
      </c>
      <c r="O44" s="12">
        <f t="shared" si="4"/>
        <v>0</v>
      </c>
      <c r="Z44" s="12">
        <f t="shared" si="5"/>
        <v>0</v>
      </c>
      <c r="AA44" s="12">
        <f t="shared" si="6"/>
        <v>0</v>
      </c>
      <c r="AB44" s="12">
        <f t="shared" si="7"/>
        <v>0</v>
      </c>
      <c r="AD44" s="25">
        <v>15</v>
      </c>
      <c r="AE44" s="25">
        <f>G44*0.607697501688049</f>
        <v>0</v>
      </c>
      <c r="AF44" s="25">
        <f>G44*(1-0.607697501688049)</f>
        <v>0</v>
      </c>
    </row>
    <row r="45" spans="1:32" x14ac:dyDescent="0.2">
      <c r="A45" s="36">
        <v>31</v>
      </c>
      <c r="B45" s="4"/>
      <c r="C45" s="4" t="s">
        <v>118</v>
      </c>
      <c r="D45" s="4" t="s">
        <v>119</v>
      </c>
      <c r="E45" s="4" t="s">
        <v>103</v>
      </c>
      <c r="F45" s="12">
        <v>21</v>
      </c>
      <c r="G45" s="12">
        <v>0</v>
      </c>
      <c r="H45" s="12">
        <f t="shared" si="0"/>
        <v>0</v>
      </c>
      <c r="I45" s="12">
        <f t="shared" si="1"/>
        <v>0</v>
      </c>
      <c r="J45" s="12">
        <f t="shared" si="2"/>
        <v>0</v>
      </c>
      <c r="K45" s="12">
        <v>4.7800000000000004E-3</v>
      </c>
      <c r="L45" s="12">
        <f t="shared" si="3"/>
        <v>0.10038000000000001</v>
      </c>
      <c r="M45" s="22" t="s">
        <v>49</v>
      </c>
      <c r="N45" s="22" t="s">
        <v>45</v>
      </c>
      <c r="O45" s="12">
        <f t="shared" si="4"/>
        <v>0</v>
      </c>
      <c r="Z45" s="12">
        <f t="shared" si="5"/>
        <v>0</v>
      </c>
      <c r="AA45" s="12">
        <f t="shared" si="6"/>
        <v>0</v>
      </c>
      <c r="AB45" s="12">
        <f t="shared" si="7"/>
        <v>0</v>
      </c>
      <c r="AD45" s="25">
        <v>15</v>
      </c>
      <c r="AE45" s="25">
        <f>G45*0.893294425815479</f>
        <v>0</v>
      </c>
      <c r="AF45" s="25">
        <f>G45*(1-0.893294425815479)</f>
        <v>0</v>
      </c>
    </row>
    <row r="46" spans="1:32" x14ac:dyDescent="0.2">
      <c r="A46" s="36">
        <v>32</v>
      </c>
      <c r="B46" s="4"/>
      <c r="C46" s="4" t="s">
        <v>120</v>
      </c>
      <c r="D46" s="4" t="s">
        <v>121</v>
      </c>
      <c r="E46" s="4" t="s">
        <v>103</v>
      </c>
      <c r="F46" s="12">
        <v>21</v>
      </c>
      <c r="G46" s="12">
        <v>0</v>
      </c>
      <c r="H46" s="12">
        <f t="shared" si="0"/>
        <v>0</v>
      </c>
      <c r="I46" s="12">
        <f t="shared" si="1"/>
        <v>0</v>
      </c>
      <c r="J46" s="12">
        <f t="shared" si="2"/>
        <v>0</v>
      </c>
      <c r="K46" s="12">
        <v>2.14E-3</v>
      </c>
      <c r="L46" s="12">
        <f t="shared" si="3"/>
        <v>4.4940000000000001E-2</v>
      </c>
      <c r="M46" s="22" t="s">
        <v>49</v>
      </c>
      <c r="N46" s="22" t="s">
        <v>45</v>
      </c>
      <c r="O46" s="12">
        <f t="shared" si="4"/>
        <v>0</v>
      </c>
      <c r="Z46" s="12">
        <f t="shared" si="5"/>
        <v>0</v>
      </c>
      <c r="AA46" s="12">
        <f t="shared" si="6"/>
        <v>0</v>
      </c>
      <c r="AB46" s="12">
        <f t="shared" si="7"/>
        <v>0</v>
      </c>
      <c r="AD46" s="25">
        <v>15</v>
      </c>
      <c r="AE46" s="25">
        <f>G46*0.810620969935519</f>
        <v>0</v>
      </c>
      <c r="AF46" s="25">
        <f>G46*(1-0.810620969935519)</f>
        <v>0</v>
      </c>
    </row>
    <row r="47" spans="1:32" x14ac:dyDescent="0.2">
      <c r="A47" s="36">
        <v>33</v>
      </c>
      <c r="B47" s="4"/>
      <c r="C47" s="4" t="s">
        <v>122</v>
      </c>
      <c r="D47" s="4" t="s">
        <v>123</v>
      </c>
      <c r="E47" s="4" t="s">
        <v>124</v>
      </c>
      <c r="F47" s="12">
        <v>4</v>
      </c>
      <c r="G47" s="12">
        <v>0</v>
      </c>
      <c r="H47" s="12">
        <f t="shared" si="0"/>
        <v>0</v>
      </c>
      <c r="I47" s="12">
        <f t="shared" si="1"/>
        <v>0</v>
      </c>
      <c r="J47" s="12">
        <f t="shared" si="2"/>
        <v>0</v>
      </c>
      <c r="K47" s="12">
        <v>0</v>
      </c>
      <c r="L47" s="12">
        <f t="shared" si="3"/>
        <v>0</v>
      </c>
      <c r="M47" s="22" t="s">
        <v>49</v>
      </c>
      <c r="N47" s="22" t="s">
        <v>45</v>
      </c>
      <c r="O47" s="12">
        <f t="shared" si="4"/>
        <v>0</v>
      </c>
      <c r="Z47" s="12">
        <f t="shared" si="5"/>
        <v>0</v>
      </c>
      <c r="AA47" s="12">
        <f t="shared" si="6"/>
        <v>0</v>
      </c>
      <c r="AB47" s="12">
        <f t="shared" si="7"/>
        <v>0</v>
      </c>
      <c r="AD47" s="25">
        <v>15</v>
      </c>
      <c r="AE47" s="25">
        <f>G47*0</f>
        <v>0</v>
      </c>
      <c r="AF47" s="25">
        <f>G47*(1-0)</f>
        <v>0</v>
      </c>
    </row>
    <row r="48" spans="1:32" x14ac:dyDescent="0.2">
      <c r="A48" s="36">
        <v>34</v>
      </c>
      <c r="B48" s="4"/>
      <c r="C48" s="4" t="s">
        <v>125</v>
      </c>
      <c r="D48" s="33" t="s">
        <v>209</v>
      </c>
      <c r="E48" s="4" t="s">
        <v>77</v>
      </c>
      <c r="F48" s="12">
        <v>800</v>
      </c>
      <c r="G48" s="12">
        <v>0</v>
      </c>
      <c r="H48" s="12">
        <f t="shared" si="0"/>
        <v>0</v>
      </c>
      <c r="I48" s="12">
        <f t="shared" si="1"/>
        <v>0</v>
      </c>
      <c r="J48" s="12">
        <f t="shared" si="2"/>
        <v>0</v>
      </c>
      <c r="K48" s="12">
        <v>0</v>
      </c>
      <c r="L48" s="12">
        <f t="shared" si="3"/>
        <v>0</v>
      </c>
      <c r="M48" s="22" t="s">
        <v>49</v>
      </c>
      <c r="N48" s="22" t="s">
        <v>45</v>
      </c>
      <c r="O48" s="12">
        <f t="shared" si="4"/>
        <v>0</v>
      </c>
      <c r="Z48" s="12">
        <f t="shared" si="5"/>
        <v>0</v>
      </c>
      <c r="AA48" s="12">
        <f t="shared" si="6"/>
        <v>0</v>
      </c>
      <c r="AB48" s="12">
        <f t="shared" si="7"/>
        <v>0</v>
      </c>
      <c r="AD48" s="25">
        <v>15</v>
      </c>
      <c r="AE48" s="25">
        <f>G48*0.00284185891006352</f>
        <v>0</v>
      </c>
      <c r="AF48" s="25">
        <f>G48*(1-0.00284185891006352)</f>
        <v>0</v>
      </c>
    </row>
    <row r="49" spans="1:37" x14ac:dyDescent="0.2">
      <c r="A49" s="5"/>
      <c r="B49" s="41"/>
      <c r="C49" s="41" t="s">
        <v>126</v>
      </c>
      <c r="D49" s="68" t="s">
        <v>127</v>
      </c>
      <c r="E49" s="69"/>
      <c r="F49" s="69"/>
      <c r="G49" s="69"/>
      <c r="H49" s="27">
        <f>SUM(H50:H69)</f>
        <v>0</v>
      </c>
      <c r="I49" s="27">
        <f>SUM(I50:I69)</f>
        <v>0</v>
      </c>
      <c r="J49" s="27">
        <f>H49+I49</f>
        <v>0</v>
      </c>
      <c r="K49" s="19"/>
      <c r="L49" s="27">
        <f>SUM(L50:L69)</f>
        <v>3.9900700000000007</v>
      </c>
      <c r="M49" s="19"/>
      <c r="P49" s="27">
        <f>IF(Q49="PR",J49,SUM(O50:O69))</f>
        <v>0</v>
      </c>
      <c r="Q49" s="19" t="s">
        <v>71</v>
      </c>
      <c r="R49" s="27">
        <f>IF(Q49="HS",H49,0)</f>
        <v>0</v>
      </c>
      <c r="S49" s="27">
        <f>IF(Q49="HS",I49-P49,0)</f>
        <v>0</v>
      </c>
      <c r="T49" s="27">
        <f>IF(Q49="PS",H49,0)</f>
        <v>0</v>
      </c>
      <c r="U49" s="27">
        <f>IF(Q49="PS",I49-P49,0)</f>
        <v>0</v>
      </c>
      <c r="V49" s="27">
        <f>IF(Q49="MP",H49,0)</f>
        <v>0</v>
      </c>
      <c r="W49" s="27">
        <f>IF(Q49="MP",I49-P49,0)</f>
        <v>0</v>
      </c>
      <c r="X49" s="27">
        <f>IF(Q49="OM",H49,0)</f>
        <v>0</v>
      </c>
      <c r="Y49" s="19"/>
      <c r="AI49" s="27">
        <f>SUM(Z50:Z69)</f>
        <v>0</v>
      </c>
      <c r="AJ49" s="27">
        <f>SUM(AA50:AA69)</f>
        <v>0</v>
      </c>
      <c r="AK49" s="27">
        <f>SUM(AB50:AB69)</f>
        <v>0</v>
      </c>
    </row>
    <row r="50" spans="1:37" x14ac:dyDescent="0.2">
      <c r="A50" s="36">
        <v>35</v>
      </c>
      <c r="B50" s="4"/>
      <c r="C50" s="4" t="s">
        <v>128</v>
      </c>
      <c r="D50" s="4" t="s">
        <v>129</v>
      </c>
      <c r="E50" s="4" t="s">
        <v>103</v>
      </c>
      <c r="F50" s="12">
        <v>3</v>
      </c>
      <c r="G50" s="12">
        <v>0</v>
      </c>
      <c r="H50" s="12">
        <f t="shared" ref="H50:H69" si="8">ROUND(F50*AE50,2)</f>
        <v>0</v>
      </c>
      <c r="I50" s="12">
        <f t="shared" ref="I50:I69" si="9">J50-H50</f>
        <v>0</v>
      </c>
      <c r="J50" s="12">
        <f t="shared" ref="J50:J69" si="10">ROUND(F50*G50,2)</f>
        <v>0</v>
      </c>
      <c r="K50" s="12">
        <v>4.8999999999999998E-4</v>
      </c>
      <c r="L50" s="12">
        <f t="shared" ref="L50:L69" si="11">F50*K50</f>
        <v>1.47E-3</v>
      </c>
      <c r="M50" s="22"/>
      <c r="N50" s="22" t="s">
        <v>45</v>
      </c>
      <c r="O50" s="12">
        <f t="shared" ref="O50:O69" si="12">IF(N50="5",I50,0)</f>
        <v>0</v>
      </c>
      <c r="Z50" s="12">
        <f t="shared" ref="Z50:Z69" si="13">IF(AD50=0,J50,0)</f>
        <v>0</v>
      </c>
      <c r="AA50" s="12">
        <f t="shared" ref="AA50:AA69" si="14">IF(AD50=15,J50,0)</f>
        <v>0</v>
      </c>
      <c r="AB50" s="12">
        <f t="shared" ref="AB50:AB69" si="15">IF(AD50=21,J50,0)</f>
        <v>0</v>
      </c>
      <c r="AD50" s="25">
        <v>15</v>
      </c>
      <c r="AE50" s="25">
        <f>G50*0</f>
        <v>0</v>
      </c>
      <c r="AF50" s="25">
        <f>G50*(1-0)</f>
        <v>0</v>
      </c>
    </row>
    <row r="51" spans="1:37" x14ac:dyDescent="0.2">
      <c r="A51" s="36">
        <v>36</v>
      </c>
      <c r="B51" s="4"/>
      <c r="C51" s="4" t="s">
        <v>130</v>
      </c>
      <c r="D51" s="4" t="s">
        <v>131</v>
      </c>
      <c r="E51" s="4" t="s">
        <v>74</v>
      </c>
      <c r="F51" s="12">
        <v>20</v>
      </c>
      <c r="G51" s="12">
        <v>0</v>
      </c>
      <c r="H51" s="12">
        <f t="shared" si="8"/>
        <v>0</v>
      </c>
      <c r="I51" s="12">
        <f t="shared" si="9"/>
        <v>0</v>
      </c>
      <c r="J51" s="12">
        <f t="shared" si="10"/>
        <v>0</v>
      </c>
      <c r="K51" s="12">
        <v>1.9460000000000002E-2</v>
      </c>
      <c r="L51" s="12">
        <f t="shared" si="11"/>
        <v>0.38920000000000005</v>
      </c>
      <c r="M51" s="22" t="s">
        <v>49</v>
      </c>
      <c r="N51" s="22" t="s">
        <v>45</v>
      </c>
      <c r="O51" s="12">
        <f t="shared" si="12"/>
        <v>0</v>
      </c>
      <c r="Z51" s="12">
        <f t="shared" si="13"/>
        <v>0</v>
      </c>
      <c r="AA51" s="12">
        <f t="shared" si="14"/>
        <v>0</v>
      </c>
      <c r="AB51" s="12">
        <f t="shared" si="15"/>
        <v>0</v>
      </c>
      <c r="AD51" s="25">
        <v>15</v>
      </c>
      <c r="AE51" s="25">
        <f>G51*0</f>
        <v>0</v>
      </c>
      <c r="AF51" s="25">
        <f>G51*(1-0)</f>
        <v>0</v>
      </c>
    </row>
    <row r="52" spans="1:37" x14ac:dyDescent="0.2">
      <c r="A52" s="36">
        <v>37</v>
      </c>
      <c r="B52" s="4"/>
      <c r="C52" s="4" t="s">
        <v>132</v>
      </c>
      <c r="D52" s="4" t="s">
        <v>133</v>
      </c>
      <c r="E52" s="4" t="s">
        <v>103</v>
      </c>
      <c r="F52" s="12">
        <v>20</v>
      </c>
      <c r="G52" s="12">
        <v>0</v>
      </c>
      <c r="H52" s="12">
        <f t="shared" si="8"/>
        <v>0</v>
      </c>
      <c r="I52" s="12">
        <f t="shared" si="9"/>
        <v>0</v>
      </c>
      <c r="J52" s="12">
        <f t="shared" si="10"/>
        <v>0</v>
      </c>
      <c r="K52" s="12">
        <v>3.0000000000000001E-5</v>
      </c>
      <c r="L52" s="12">
        <f t="shared" si="11"/>
        <v>6.0000000000000006E-4</v>
      </c>
      <c r="M52" s="22" t="s">
        <v>49</v>
      </c>
      <c r="N52" s="22" t="s">
        <v>45</v>
      </c>
      <c r="O52" s="12">
        <f t="shared" si="12"/>
        <v>0</v>
      </c>
      <c r="Z52" s="12">
        <f t="shared" si="13"/>
        <v>0</v>
      </c>
      <c r="AA52" s="12">
        <f t="shared" si="14"/>
        <v>0</v>
      </c>
      <c r="AB52" s="12">
        <f t="shared" si="15"/>
        <v>0</v>
      </c>
      <c r="AD52" s="25">
        <v>15</v>
      </c>
      <c r="AE52" s="25">
        <f>G52*0.0319209039548023</f>
        <v>0</v>
      </c>
      <c r="AF52" s="25">
        <f>G52*(1-0.0319209039548023)</f>
        <v>0</v>
      </c>
    </row>
    <row r="53" spans="1:37" x14ac:dyDescent="0.2">
      <c r="A53" s="36">
        <v>36</v>
      </c>
      <c r="B53" s="4"/>
      <c r="C53" s="4" t="s">
        <v>130</v>
      </c>
      <c r="D53" s="4" t="s">
        <v>134</v>
      </c>
      <c r="E53" s="4" t="s">
        <v>74</v>
      </c>
      <c r="F53" s="12">
        <v>20</v>
      </c>
      <c r="G53" s="12">
        <v>0</v>
      </c>
      <c r="H53" s="12">
        <f>ROUND(F53*AE53,2)</f>
        <v>0</v>
      </c>
      <c r="I53" s="12">
        <f>J53-H53</f>
        <v>0</v>
      </c>
      <c r="J53" s="12">
        <f>ROUND(F53*G53,2)</f>
        <v>0</v>
      </c>
      <c r="K53" s="12">
        <v>1.9460000000000002E-2</v>
      </c>
      <c r="L53" s="12">
        <f>F53*K53</f>
        <v>0.38920000000000005</v>
      </c>
      <c r="M53" s="22" t="s">
        <v>49</v>
      </c>
      <c r="N53" s="22" t="s">
        <v>45</v>
      </c>
      <c r="O53" s="12">
        <f>IF(N53="5",I53,0)</f>
        <v>0</v>
      </c>
      <c r="Z53" s="12">
        <f>IF(AD53=0,J53,0)</f>
        <v>0</v>
      </c>
      <c r="AA53" s="12">
        <f>IF(AD53=15,J53,0)</f>
        <v>0</v>
      </c>
      <c r="AB53" s="12">
        <f>IF(AD53=21,J53,0)</f>
        <v>0</v>
      </c>
      <c r="AD53" s="25">
        <v>15</v>
      </c>
      <c r="AE53" s="25">
        <f>G53*0</f>
        <v>0</v>
      </c>
      <c r="AF53" s="25">
        <f>G53*(1-0)</f>
        <v>0</v>
      </c>
    </row>
    <row r="54" spans="1:37" x14ac:dyDescent="0.2">
      <c r="A54" s="36">
        <v>37</v>
      </c>
      <c r="B54" s="4"/>
      <c r="C54" s="4" t="s">
        <v>132</v>
      </c>
      <c r="D54" s="4" t="s">
        <v>135</v>
      </c>
      <c r="E54" s="4" t="s">
        <v>103</v>
      </c>
      <c r="F54" s="12">
        <v>17</v>
      </c>
      <c r="G54" s="12">
        <v>0</v>
      </c>
      <c r="H54" s="12">
        <f>ROUND(F54*AE54,2)</f>
        <v>0</v>
      </c>
      <c r="I54" s="12">
        <f>J54-H54</f>
        <v>0</v>
      </c>
      <c r="J54" s="12">
        <f>ROUND(F54*G54,2)</f>
        <v>0</v>
      </c>
      <c r="K54" s="12">
        <v>3.0000000000000001E-5</v>
      </c>
      <c r="L54" s="12">
        <f>F54*K54</f>
        <v>5.1000000000000004E-4</v>
      </c>
      <c r="M54" s="22" t="s">
        <v>49</v>
      </c>
      <c r="N54" s="22" t="s">
        <v>45</v>
      </c>
      <c r="O54" s="12">
        <f>IF(N54="5",I54,0)</f>
        <v>0</v>
      </c>
      <c r="Z54" s="12">
        <f>IF(AD54=0,J54,0)</f>
        <v>0</v>
      </c>
      <c r="AA54" s="12">
        <f>IF(AD54=15,J54,0)</f>
        <v>0</v>
      </c>
      <c r="AB54" s="12">
        <f>IF(AD54=21,J54,0)</f>
        <v>0</v>
      </c>
      <c r="AD54" s="25">
        <v>15</v>
      </c>
      <c r="AE54" s="25">
        <f>G54*0.0319209039548023</f>
        <v>0</v>
      </c>
      <c r="AF54" s="25">
        <f>G54*(1-0.0319209039548023)</f>
        <v>0</v>
      </c>
    </row>
    <row r="55" spans="1:37" x14ac:dyDescent="0.2">
      <c r="A55" s="36">
        <v>38</v>
      </c>
      <c r="B55" s="4"/>
      <c r="C55" s="4" t="s">
        <v>136</v>
      </c>
      <c r="D55" s="4" t="s">
        <v>137</v>
      </c>
      <c r="E55" s="4" t="s">
        <v>103</v>
      </c>
      <c r="F55" s="12">
        <v>17</v>
      </c>
      <c r="G55" s="12">
        <v>0</v>
      </c>
      <c r="H55" s="12">
        <f t="shared" si="8"/>
        <v>0</v>
      </c>
      <c r="I55" s="12">
        <f t="shared" si="9"/>
        <v>0</v>
      </c>
      <c r="J55" s="12">
        <f t="shared" si="10"/>
        <v>0</v>
      </c>
      <c r="K55" s="12">
        <v>9.3000000000000005E-4</v>
      </c>
      <c r="L55" s="12">
        <f t="shared" si="11"/>
        <v>1.5810000000000001E-2</v>
      </c>
      <c r="M55" s="22" t="s">
        <v>49</v>
      </c>
      <c r="N55" s="22" t="s">
        <v>45</v>
      </c>
      <c r="O55" s="12">
        <f t="shared" si="12"/>
        <v>0</v>
      </c>
      <c r="Z55" s="12">
        <f t="shared" si="13"/>
        <v>0</v>
      </c>
      <c r="AA55" s="12">
        <f t="shared" si="14"/>
        <v>0</v>
      </c>
      <c r="AB55" s="12">
        <f t="shared" si="15"/>
        <v>0</v>
      </c>
      <c r="AD55" s="25">
        <v>15</v>
      </c>
      <c r="AE55" s="25">
        <f>G55*0.824309978768577</f>
        <v>0</v>
      </c>
      <c r="AF55" s="25">
        <f>G55*(1-0.824309978768577)</f>
        <v>0</v>
      </c>
    </row>
    <row r="56" spans="1:37" x14ac:dyDescent="0.2">
      <c r="A56" s="36">
        <v>39</v>
      </c>
      <c r="B56" s="4"/>
      <c r="C56" s="4" t="s">
        <v>138</v>
      </c>
      <c r="D56" s="4" t="s">
        <v>139</v>
      </c>
      <c r="E56" s="4" t="s">
        <v>103</v>
      </c>
      <c r="F56" s="12">
        <v>20</v>
      </c>
      <c r="G56" s="12">
        <v>0</v>
      </c>
      <c r="H56" s="12">
        <f t="shared" si="8"/>
        <v>0</v>
      </c>
      <c r="I56" s="12">
        <f t="shared" si="9"/>
        <v>0</v>
      </c>
      <c r="J56" s="12">
        <f t="shared" si="10"/>
        <v>0</v>
      </c>
      <c r="K56" s="12">
        <v>0</v>
      </c>
      <c r="L56" s="12">
        <f t="shared" si="11"/>
        <v>0</v>
      </c>
      <c r="M56" s="22" t="s">
        <v>49</v>
      </c>
      <c r="N56" s="22" t="s">
        <v>45</v>
      </c>
      <c r="O56" s="12">
        <f t="shared" si="12"/>
        <v>0</v>
      </c>
      <c r="Z56" s="12">
        <f t="shared" si="13"/>
        <v>0</v>
      </c>
      <c r="AA56" s="12">
        <f t="shared" si="14"/>
        <v>0</v>
      </c>
      <c r="AB56" s="12">
        <f t="shared" si="15"/>
        <v>0</v>
      </c>
      <c r="AD56" s="25">
        <v>15</v>
      </c>
      <c r="AE56" s="25">
        <f>G56*0</f>
        <v>0</v>
      </c>
      <c r="AF56" s="25">
        <f>G56*(1-0)</f>
        <v>0</v>
      </c>
    </row>
    <row r="57" spans="1:37" x14ac:dyDescent="0.2">
      <c r="A57" s="36">
        <v>40</v>
      </c>
      <c r="B57" s="4"/>
      <c r="C57" s="4" t="s">
        <v>140</v>
      </c>
      <c r="D57" s="4" t="s">
        <v>141</v>
      </c>
      <c r="E57" s="4" t="s">
        <v>103</v>
      </c>
      <c r="F57" s="12">
        <v>20</v>
      </c>
      <c r="G57" s="12">
        <v>0</v>
      </c>
      <c r="H57" s="12">
        <f t="shared" si="8"/>
        <v>0</v>
      </c>
      <c r="I57" s="12">
        <f t="shared" si="9"/>
        <v>0</v>
      </c>
      <c r="J57" s="12">
        <f t="shared" si="10"/>
        <v>0</v>
      </c>
      <c r="K57" s="12">
        <v>2.0000000000000002E-5</v>
      </c>
      <c r="L57" s="12">
        <f t="shared" si="11"/>
        <v>4.0000000000000002E-4</v>
      </c>
      <c r="M57" s="22" t="s">
        <v>49</v>
      </c>
      <c r="N57" s="22" t="s">
        <v>45</v>
      </c>
      <c r="O57" s="12">
        <f t="shared" si="12"/>
        <v>0</v>
      </c>
      <c r="Z57" s="12">
        <f t="shared" si="13"/>
        <v>0</v>
      </c>
      <c r="AA57" s="12">
        <f t="shared" si="14"/>
        <v>0</v>
      </c>
      <c r="AB57" s="12">
        <f t="shared" si="15"/>
        <v>0</v>
      </c>
      <c r="AD57" s="25">
        <v>15</v>
      </c>
      <c r="AE57" s="25">
        <f>G57*0.0523345305284761</f>
        <v>0</v>
      </c>
      <c r="AF57" s="25">
        <f>G57*(1-0.0523345305284761)</f>
        <v>0</v>
      </c>
    </row>
    <row r="58" spans="1:37" x14ac:dyDescent="0.2">
      <c r="A58" s="36">
        <v>41</v>
      </c>
      <c r="B58" s="4"/>
      <c r="C58" s="4" t="s">
        <v>142</v>
      </c>
      <c r="D58" s="4" t="s">
        <v>143</v>
      </c>
      <c r="E58" s="4" t="s">
        <v>103</v>
      </c>
      <c r="F58" s="12">
        <v>20</v>
      </c>
      <c r="G58" s="12">
        <v>0</v>
      </c>
      <c r="H58" s="12">
        <f t="shared" si="8"/>
        <v>0</v>
      </c>
      <c r="I58" s="12">
        <f t="shared" si="9"/>
        <v>0</v>
      </c>
      <c r="J58" s="12">
        <f t="shared" si="10"/>
        <v>0</v>
      </c>
      <c r="K58" s="12">
        <v>0</v>
      </c>
      <c r="L58" s="12">
        <f t="shared" si="11"/>
        <v>0</v>
      </c>
      <c r="M58" s="22" t="s">
        <v>49</v>
      </c>
      <c r="N58" s="22" t="s">
        <v>45</v>
      </c>
      <c r="O58" s="12">
        <f t="shared" si="12"/>
        <v>0</v>
      </c>
      <c r="Z58" s="12">
        <f t="shared" si="13"/>
        <v>0</v>
      </c>
      <c r="AA58" s="12">
        <f t="shared" si="14"/>
        <v>0</v>
      </c>
      <c r="AB58" s="12">
        <f t="shared" si="15"/>
        <v>0</v>
      </c>
      <c r="AD58" s="25">
        <v>15</v>
      </c>
      <c r="AE58" s="25">
        <f>G58*0</f>
        <v>0</v>
      </c>
      <c r="AF58" s="25">
        <f>G58*(1-0)</f>
        <v>0</v>
      </c>
    </row>
    <row r="59" spans="1:37" x14ac:dyDescent="0.2">
      <c r="A59" s="36">
        <v>42</v>
      </c>
      <c r="B59" s="4"/>
      <c r="C59" s="4" t="s">
        <v>144</v>
      </c>
      <c r="D59" s="4" t="s">
        <v>145</v>
      </c>
      <c r="E59" s="4" t="s">
        <v>103</v>
      </c>
      <c r="F59" s="12">
        <v>20</v>
      </c>
      <c r="G59" s="12">
        <v>0</v>
      </c>
      <c r="H59" s="12">
        <f t="shared" si="8"/>
        <v>0</v>
      </c>
      <c r="I59" s="12">
        <f t="shared" si="9"/>
        <v>0</v>
      </c>
      <c r="J59" s="12">
        <f t="shared" si="10"/>
        <v>0</v>
      </c>
      <c r="K59" s="12">
        <v>1.0000000000000001E-5</v>
      </c>
      <c r="L59" s="12">
        <f t="shared" si="11"/>
        <v>2.0000000000000001E-4</v>
      </c>
      <c r="M59" s="22" t="s">
        <v>49</v>
      </c>
      <c r="N59" s="22" t="s">
        <v>45</v>
      </c>
      <c r="O59" s="12">
        <f t="shared" si="12"/>
        <v>0</v>
      </c>
      <c r="Z59" s="12">
        <f t="shared" si="13"/>
        <v>0</v>
      </c>
      <c r="AA59" s="12">
        <f t="shared" si="14"/>
        <v>0</v>
      </c>
      <c r="AB59" s="12">
        <f t="shared" si="15"/>
        <v>0</v>
      </c>
      <c r="AD59" s="25">
        <v>15</v>
      </c>
      <c r="AE59" s="25">
        <f>G59*0.59050622587135</f>
        <v>0</v>
      </c>
      <c r="AF59" s="25">
        <f>G59*(1-0.59050622587135)</f>
        <v>0</v>
      </c>
    </row>
    <row r="60" spans="1:37" x14ac:dyDescent="0.2">
      <c r="A60" s="36">
        <v>43</v>
      </c>
      <c r="B60" s="4"/>
      <c r="C60" s="4" t="s">
        <v>146</v>
      </c>
      <c r="D60" s="4" t="s">
        <v>147</v>
      </c>
      <c r="E60" s="4" t="s">
        <v>74</v>
      </c>
      <c r="F60" s="12">
        <v>20</v>
      </c>
      <c r="G60" s="12">
        <v>0</v>
      </c>
      <c r="H60" s="12">
        <f t="shared" si="8"/>
        <v>0</v>
      </c>
      <c r="I60" s="12">
        <f t="shared" si="9"/>
        <v>0</v>
      </c>
      <c r="J60" s="12">
        <f t="shared" si="10"/>
        <v>0</v>
      </c>
      <c r="K60" s="12">
        <v>0.155</v>
      </c>
      <c r="L60" s="12">
        <f t="shared" si="11"/>
        <v>3.1</v>
      </c>
      <c r="M60" s="22" t="s">
        <v>49</v>
      </c>
      <c r="N60" s="22" t="s">
        <v>45</v>
      </c>
      <c r="O60" s="12">
        <f t="shared" si="12"/>
        <v>0</v>
      </c>
      <c r="Z60" s="12">
        <f t="shared" si="13"/>
        <v>0</v>
      </c>
      <c r="AA60" s="12">
        <f t="shared" si="14"/>
        <v>0</v>
      </c>
      <c r="AB60" s="12">
        <f t="shared" si="15"/>
        <v>0</v>
      </c>
      <c r="AD60" s="25">
        <v>15</v>
      </c>
      <c r="AE60" s="25">
        <f>G60*0</f>
        <v>0</v>
      </c>
      <c r="AF60" s="25">
        <f>G60*(1-0)</f>
        <v>0</v>
      </c>
    </row>
    <row r="61" spans="1:37" x14ac:dyDescent="0.2">
      <c r="A61" s="36">
        <v>44</v>
      </c>
      <c r="B61" s="4"/>
      <c r="C61" s="4" t="s">
        <v>148</v>
      </c>
      <c r="D61" s="4" t="s">
        <v>149</v>
      </c>
      <c r="E61" s="4" t="s">
        <v>103</v>
      </c>
      <c r="F61" s="12">
        <v>20</v>
      </c>
      <c r="G61" s="12">
        <v>0</v>
      </c>
      <c r="H61" s="12">
        <f t="shared" si="8"/>
        <v>0</v>
      </c>
      <c r="I61" s="12">
        <f t="shared" si="9"/>
        <v>0</v>
      </c>
      <c r="J61" s="12">
        <f t="shared" si="10"/>
        <v>0</v>
      </c>
      <c r="K61" s="12">
        <v>1.2E-4</v>
      </c>
      <c r="L61" s="12">
        <f t="shared" si="11"/>
        <v>2.4000000000000002E-3</v>
      </c>
      <c r="M61" s="22" t="s">
        <v>49</v>
      </c>
      <c r="N61" s="22" t="s">
        <v>45</v>
      </c>
      <c r="O61" s="12">
        <f t="shared" si="12"/>
        <v>0</v>
      </c>
      <c r="Z61" s="12">
        <f t="shared" si="13"/>
        <v>0</v>
      </c>
      <c r="AA61" s="12">
        <f t="shared" si="14"/>
        <v>0</v>
      </c>
      <c r="AB61" s="12">
        <f t="shared" si="15"/>
        <v>0</v>
      </c>
      <c r="AD61" s="25">
        <v>15</v>
      </c>
      <c r="AE61" s="25">
        <f>G61*0.00939267015706806</f>
        <v>0</v>
      </c>
      <c r="AF61" s="25">
        <f>G61*(1-0.00939267015706806)</f>
        <v>0</v>
      </c>
    </row>
    <row r="62" spans="1:37" x14ac:dyDescent="0.2">
      <c r="A62" s="36">
        <v>46</v>
      </c>
      <c r="B62" s="4"/>
      <c r="C62" s="4" t="s">
        <v>150</v>
      </c>
      <c r="D62" s="4" t="s">
        <v>151</v>
      </c>
      <c r="E62" s="4" t="s">
        <v>103</v>
      </c>
      <c r="F62" s="12">
        <v>20</v>
      </c>
      <c r="G62" s="12">
        <v>0</v>
      </c>
      <c r="H62" s="12">
        <f t="shared" si="8"/>
        <v>0</v>
      </c>
      <c r="I62" s="12">
        <f t="shared" si="9"/>
        <v>0</v>
      </c>
      <c r="J62" s="12">
        <f t="shared" si="10"/>
        <v>0</v>
      </c>
      <c r="K62" s="12">
        <v>1.32E-3</v>
      </c>
      <c r="L62" s="12">
        <f t="shared" si="11"/>
        <v>2.64E-2</v>
      </c>
      <c r="M62" s="22" t="s">
        <v>49</v>
      </c>
      <c r="N62" s="22" t="s">
        <v>45</v>
      </c>
      <c r="O62" s="12">
        <f t="shared" si="12"/>
        <v>0</v>
      </c>
      <c r="Z62" s="12">
        <f t="shared" si="13"/>
        <v>0</v>
      </c>
      <c r="AA62" s="12">
        <f t="shared" si="14"/>
        <v>0</v>
      </c>
      <c r="AB62" s="12">
        <f t="shared" si="15"/>
        <v>0</v>
      </c>
      <c r="AD62" s="25">
        <v>15</v>
      </c>
      <c r="AE62" s="25">
        <f>G62*0.865719275538337</f>
        <v>0</v>
      </c>
      <c r="AF62" s="25">
        <f>G62*(1-0.865719275538337)</f>
        <v>0</v>
      </c>
    </row>
    <row r="63" spans="1:37" x14ac:dyDescent="0.2">
      <c r="A63" s="36">
        <v>47</v>
      </c>
      <c r="B63" s="4"/>
      <c r="C63" s="4" t="s">
        <v>152</v>
      </c>
      <c r="D63" s="4" t="s">
        <v>153</v>
      </c>
      <c r="E63" s="4" t="s">
        <v>103</v>
      </c>
      <c r="F63" s="12">
        <v>20</v>
      </c>
      <c r="G63" s="12">
        <v>0</v>
      </c>
      <c r="H63" s="12">
        <f t="shared" si="8"/>
        <v>0</v>
      </c>
      <c r="I63" s="12">
        <f t="shared" si="9"/>
        <v>0</v>
      </c>
      <c r="J63" s="12">
        <f t="shared" si="10"/>
        <v>0</v>
      </c>
      <c r="K63" s="12">
        <v>1.2E-4</v>
      </c>
      <c r="L63" s="12">
        <f t="shared" si="11"/>
        <v>2.4000000000000002E-3</v>
      </c>
      <c r="M63" s="22" t="s">
        <v>49</v>
      </c>
      <c r="N63" s="22" t="s">
        <v>45</v>
      </c>
      <c r="O63" s="12">
        <f t="shared" si="12"/>
        <v>0</v>
      </c>
      <c r="Z63" s="12">
        <f t="shared" si="13"/>
        <v>0</v>
      </c>
      <c r="AA63" s="12">
        <f t="shared" si="14"/>
        <v>0</v>
      </c>
      <c r="AB63" s="12">
        <f t="shared" si="15"/>
        <v>0</v>
      </c>
      <c r="AD63" s="25">
        <v>15</v>
      </c>
      <c r="AE63" s="25">
        <f>G63*0.902025213290988</f>
        <v>0</v>
      </c>
      <c r="AF63" s="25">
        <f>G63*(1-0.902025213290988)</f>
        <v>0</v>
      </c>
    </row>
    <row r="64" spans="1:37" x14ac:dyDescent="0.2">
      <c r="A64" s="36">
        <v>48</v>
      </c>
      <c r="B64" s="4"/>
      <c r="C64" s="4" t="s">
        <v>154</v>
      </c>
      <c r="D64" s="4" t="s">
        <v>155</v>
      </c>
      <c r="E64" s="4" t="s">
        <v>74</v>
      </c>
      <c r="F64" s="12">
        <v>14</v>
      </c>
      <c r="G64" s="12">
        <v>0</v>
      </c>
      <c r="H64" s="12">
        <f t="shared" si="8"/>
        <v>0</v>
      </c>
      <c r="I64" s="12">
        <f t="shared" si="9"/>
        <v>0</v>
      </c>
      <c r="J64" s="12">
        <f t="shared" si="10"/>
        <v>0</v>
      </c>
      <c r="K64" s="12">
        <v>1.5299999999999999E-3</v>
      </c>
      <c r="L64" s="12">
        <f t="shared" si="11"/>
        <v>2.1419999999999998E-2</v>
      </c>
      <c r="M64" s="22" t="s">
        <v>49</v>
      </c>
      <c r="N64" s="22" t="s">
        <v>45</v>
      </c>
      <c r="O64" s="12">
        <f t="shared" si="12"/>
        <v>0</v>
      </c>
      <c r="Z64" s="12">
        <f t="shared" si="13"/>
        <v>0</v>
      </c>
      <c r="AA64" s="12">
        <f t="shared" si="14"/>
        <v>0</v>
      </c>
      <c r="AB64" s="12">
        <f t="shared" si="15"/>
        <v>0</v>
      </c>
      <c r="AD64" s="25">
        <v>15</v>
      </c>
      <c r="AE64" s="25">
        <f>G64*0.928415224913495</f>
        <v>0</v>
      </c>
      <c r="AF64" s="25">
        <f>G64*(1-0.928415224913495)</f>
        <v>0</v>
      </c>
    </row>
    <row r="65" spans="1:37" x14ac:dyDescent="0.2">
      <c r="A65" s="36">
        <v>49</v>
      </c>
      <c r="B65" s="4"/>
      <c r="C65" s="4" t="s">
        <v>156</v>
      </c>
      <c r="D65" s="4" t="s">
        <v>157</v>
      </c>
      <c r="E65" s="4" t="s">
        <v>103</v>
      </c>
      <c r="F65" s="12">
        <v>14</v>
      </c>
      <c r="G65" s="12">
        <v>0</v>
      </c>
      <c r="H65" s="12">
        <f t="shared" si="8"/>
        <v>0</v>
      </c>
      <c r="I65" s="12">
        <f t="shared" si="9"/>
        <v>0</v>
      </c>
      <c r="J65" s="12">
        <f t="shared" si="10"/>
        <v>0</v>
      </c>
      <c r="K65" s="12">
        <v>1.5200000000000001E-3</v>
      </c>
      <c r="L65" s="12">
        <f t="shared" si="11"/>
        <v>2.128E-2</v>
      </c>
      <c r="M65" s="22" t="s">
        <v>49</v>
      </c>
      <c r="N65" s="22" t="s">
        <v>45</v>
      </c>
      <c r="O65" s="12">
        <f t="shared" si="12"/>
        <v>0</v>
      </c>
      <c r="Z65" s="12">
        <f t="shared" si="13"/>
        <v>0</v>
      </c>
      <c r="AA65" s="12">
        <f t="shared" si="14"/>
        <v>0</v>
      </c>
      <c r="AB65" s="12">
        <f t="shared" si="15"/>
        <v>0</v>
      </c>
      <c r="AD65" s="25">
        <v>15</v>
      </c>
      <c r="AE65" s="25">
        <f>G65*0.893754266211604</f>
        <v>0</v>
      </c>
      <c r="AF65" s="25">
        <f>G65*(1-0.893754266211604)</f>
        <v>0</v>
      </c>
    </row>
    <row r="66" spans="1:37" x14ac:dyDescent="0.2">
      <c r="A66" s="36">
        <v>50</v>
      </c>
      <c r="B66" s="4"/>
      <c r="C66" s="4" t="s">
        <v>158</v>
      </c>
      <c r="D66" s="4" t="s">
        <v>159</v>
      </c>
      <c r="E66" s="4" t="s">
        <v>74</v>
      </c>
      <c r="F66" s="12">
        <v>14</v>
      </c>
      <c r="G66" s="12">
        <v>0</v>
      </c>
      <c r="H66" s="12">
        <f t="shared" si="8"/>
        <v>0</v>
      </c>
      <c r="I66" s="12">
        <f t="shared" si="9"/>
        <v>0</v>
      </c>
      <c r="J66" s="12">
        <f t="shared" si="10"/>
        <v>0</v>
      </c>
      <c r="K66" s="12">
        <v>1.2E-4</v>
      </c>
      <c r="L66" s="12">
        <f t="shared" si="11"/>
        <v>1.6800000000000001E-3</v>
      </c>
      <c r="M66" s="22" t="s">
        <v>49</v>
      </c>
      <c r="N66" s="22" t="s">
        <v>45</v>
      </c>
      <c r="O66" s="12">
        <f t="shared" si="12"/>
        <v>0</v>
      </c>
      <c r="Z66" s="12">
        <f t="shared" si="13"/>
        <v>0</v>
      </c>
      <c r="AA66" s="12">
        <f t="shared" si="14"/>
        <v>0</v>
      </c>
      <c r="AB66" s="12">
        <f t="shared" si="15"/>
        <v>0</v>
      </c>
      <c r="AD66" s="25">
        <v>15</v>
      </c>
      <c r="AE66" s="25">
        <f>G66*0.259020676607054</f>
        <v>0</v>
      </c>
      <c r="AF66" s="25">
        <f>G66*(1-0.259020676607054)</f>
        <v>0</v>
      </c>
    </row>
    <row r="67" spans="1:37" x14ac:dyDescent="0.2">
      <c r="A67" s="36">
        <v>51</v>
      </c>
      <c r="B67" s="4"/>
      <c r="C67" s="4" t="s">
        <v>160</v>
      </c>
      <c r="D67" s="4" t="s">
        <v>161</v>
      </c>
      <c r="E67" s="4" t="s">
        <v>103</v>
      </c>
      <c r="F67" s="12">
        <v>20</v>
      </c>
      <c r="G67" s="12">
        <v>0</v>
      </c>
      <c r="H67" s="12">
        <f t="shared" si="8"/>
        <v>0</v>
      </c>
      <c r="I67" s="12">
        <f t="shared" si="9"/>
        <v>0</v>
      </c>
      <c r="J67" s="12">
        <f t="shared" si="10"/>
        <v>0</v>
      </c>
      <c r="K67" s="12">
        <v>1.2E-4</v>
      </c>
      <c r="L67" s="12">
        <f t="shared" si="11"/>
        <v>2.4000000000000002E-3</v>
      </c>
      <c r="M67" s="22" t="s">
        <v>49</v>
      </c>
      <c r="N67" s="22" t="s">
        <v>45</v>
      </c>
      <c r="O67" s="12">
        <f t="shared" si="12"/>
        <v>0</v>
      </c>
      <c r="Z67" s="12">
        <f t="shared" si="13"/>
        <v>0</v>
      </c>
      <c r="AA67" s="12">
        <f t="shared" si="14"/>
        <v>0</v>
      </c>
      <c r="AB67" s="12">
        <f t="shared" si="15"/>
        <v>0</v>
      </c>
      <c r="AD67" s="25">
        <v>15</v>
      </c>
      <c r="AE67" s="25">
        <f>G67*0.275106454236639</f>
        <v>0</v>
      </c>
      <c r="AF67" s="25">
        <f>G67*(1-0.275106454236639)</f>
        <v>0</v>
      </c>
    </row>
    <row r="68" spans="1:37" ht="25.5" x14ac:dyDescent="0.2">
      <c r="A68" s="36">
        <v>52</v>
      </c>
      <c r="B68" s="4"/>
      <c r="C68" s="33" t="s">
        <v>162</v>
      </c>
      <c r="D68" s="35" t="s">
        <v>163</v>
      </c>
      <c r="E68" s="4" t="s">
        <v>103</v>
      </c>
      <c r="F68" s="12">
        <v>21</v>
      </c>
      <c r="G68" s="12">
        <v>0</v>
      </c>
      <c r="H68" s="12">
        <f t="shared" si="8"/>
        <v>0</v>
      </c>
      <c r="I68" s="12">
        <f t="shared" si="9"/>
        <v>0</v>
      </c>
      <c r="J68" s="12">
        <f t="shared" si="10"/>
        <v>0</v>
      </c>
      <c r="K68" s="12">
        <v>6.9999999999999999E-4</v>
      </c>
      <c r="L68" s="12">
        <f t="shared" si="11"/>
        <v>1.47E-2</v>
      </c>
      <c r="M68" s="22" t="s">
        <v>49</v>
      </c>
      <c r="N68" s="22" t="s">
        <v>45</v>
      </c>
      <c r="O68" s="12">
        <f t="shared" si="12"/>
        <v>0</v>
      </c>
      <c r="Z68" s="12">
        <f t="shared" si="13"/>
        <v>0</v>
      </c>
      <c r="AA68" s="12">
        <f t="shared" si="14"/>
        <v>0</v>
      </c>
      <c r="AB68" s="12">
        <f t="shared" si="15"/>
        <v>0</v>
      </c>
      <c r="AD68" s="25">
        <v>15</v>
      </c>
      <c r="AE68" s="25">
        <f>G68*0.657884832517877</f>
        <v>0</v>
      </c>
      <c r="AF68" s="25">
        <f>G68*(1-0.657884832517877)</f>
        <v>0</v>
      </c>
    </row>
    <row r="69" spans="1:37" x14ac:dyDescent="0.2">
      <c r="A69" s="36">
        <v>53</v>
      </c>
      <c r="B69" s="4"/>
      <c r="C69" s="4" t="s">
        <v>164</v>
      </c>
      <c r="D69" s="4" t="s">
        <v>165</v>
      </c>
      <c r="E69" s="4" t="s">
        <v>124</v>
      </c>
      <c r="F69" s="12">
        <v>4</v>
      </c>
      <c r="G69" s="12">
        <v>0</v>
      </c>
      <c r="H69" s="12">
        <f t="shared" si="8"/>
        <v>0</v>
      </c>
      <c r="I69" s="12">
        <f t="shared" si="9"/>
        <v>0</v>
      </c>
      <c r="J69" s="12">
        <f t="shared" si="10"/>
        <v>0</v>
      </c>
      <c r="K69" s="12">
        <v>0</v>
      </c>
      <c r="L69" s="12">
        <f t="shared" si="11"/>
        <v>0</v>
      </c>
      <c r="M69" s="22" t="s">
        <v>49</v>
      </c>
      <c r="N69" s="22" t="s">
        <v>45</v>
      </c>
      <c r="O69" s="12">
        <f t="shared" si="12"/>
        <v>0</v>
      </c>
      <c r="Z69" s="12">
        <f t="shared" si="13"/>
        <v>0</v>
      </c>
      <c r="AA69" s="12">
        <f t="shared" si="14"/>
        <v>0</v>
      </c>
      <c r="AB69" s="12">
        <f t="shared" si="15"/>
        <v>0</v>
      </c>
      <c r="AD69" s="25">
        <v>15</v>
      </c>
      <c r="AE69" s="25">
        <f>G69*0</f>
        <v>0</v>
      </c>
      <c r="AF69" s="25">
        <f>G69*(1-0)</f>
        <v>0</v>
      </c>
    </row>
    <row r="70" spans="1:37" x14ac:dyDescent="0.2">
      <c r="A70" s="5"/>
      <c r="B70" s="41"/>
      <c r="C70" s="41" t="s">
        <v>166</v>
      </c>
      <c r="D70" s="68" t="s">
        <v>167</v>
      </c>
      <c r="E70" s="69"/>
      <c r="F70" s="69"/>
      <c r="G70" s="69"/>
      <c r="H70" s="27">
        <f>SUM(H71:H74)</f>
        <v>0</v>
      </c>
      <c r="I70" s="27">
        <f>SUM(I71:I74)</f>
        <v>0</v>
      </c>
      <c r="J70" s="27">
        <f>H70+I70</f>
        <v>0</v>
      </c>
      <c r="K70" s="19"/>
      <c r="L70" s="27">
        <f>SUM(L71:L74)</f>
        <v>0.03</v>
      </c>
      <c r="M70" s="19"/>
      <c r="P70" s="27">
        <f>IF(Q70="PR",J70,SUM(O71:O74))</f>
        <v>0</v>
      </c>
      <c r="Q70" s="19" t="s">
        <v>71</v>
      </c>
      <c r="R70" s="27">
        <f>IF(Q70="HS",H70,0)</f>
        <v>0</v>
      </c>
      <c r="S70" s="27">
        <f>IF(Q70="HS",I70-P70,0)</f>
        <v>0</v>
      </c>
      <c r="T70" s="27">
        <f>IF(Q70="PS",H70,0)</f>
        <v>0</v>
      </c>
      <c r="U70" s="27">
        <f>IF(Q70="PS",I70-P70,0)</f>
        <v>0</v>
      </c>
      <c r="V70" s="27">
        <f>IF(Q70="MP",H70,0)</f>
        <v>0</v>
      </c>
      <c r="W70" s="27">
        <f>IF(Q70="MP",I70-P70,0)</f>
        <v>0</v>
      </c>
      <c r="X70" s="27">
        <f>IF(Q70="OM",H70,0)</f>
        <v>0</v>
      </c>
      <c r="Y70" s="19"/>
      <c r="AI70" s="27">
        <f>SUM(Z71:Z74)</f>
        <v>0</v>
      </c>
      <c r="AJ70" s="27">
        <f>SUM(AA71:AA74)</f>
        <v>0</v>
      </c>
      <c r="AK70" s="27">
        <f>SUM(AB71:AB74)</f>
        <v>0</v>
      </c>
    </row>
    <row r="71" spans="1:37" x14ac:dyDescent="0.2">
      <c r="A71" s="36">
        <v>54</v>
      </c>
      <c r="B71" s="4"/>
      <c r="C71" s="4" t="s">
        <v>168</v>
      </c>
      <c r="D71" s="4" t="s">
        <v>169</v>
      </c>
      <c r="E71" s="4" t="s">
        <v>53</v>
      </c>
      <c r="F71" s="12">
        <v>100</v>
      </c>
      <c r="G71" s="12">
        <v>0</v>
      </c>
      <c r="H71" s="12">
        <f>ROUND(F71*AE71,2)</f>
        <v>0</v>
      </c>
      <c r="I71" s="12">
        <f>J71-H71</f>
        <v>0</v>
      </c>
      <c r="J71" s="12">
        <f>ROUND(F71*G71,2)</f>
        <v>0</v>
      </c>
      <c r="K71" s="12">
        <v>0</v>
      </c>
      <c r="L71" s="12">
        <f>F71*K71</f>
        <v>0</v>
      </c>
      <c r="M71" s="22" t="s">
        <v>49</v>
      </c>
      <c r="N71" s="22" t="s">
        <v>45</v>
      </c>
      <c r="O71" s="12">
        <f>IF(N71="5",I71,0)</f>
        <v>0</v>
      </c>
      <c r="Z71" s="12">
        <f>IF(AD71=0,J71,0)</f>
        <v>0</v>
      </c>
      <c r="AA71" s="12">
        <f>IF(AD71=15,J71,0)</f>
        <v>0</v>
      </c>
      <c r="AB71" s="12">
        <f>IF(AD71=21,J71,0)</f>
        <v>0</v>
      </c>
      <c r="AD71" s="25">
        <v>15</v>
      </c>
      <c r="AE71" s="25">
        <f>G71*0</f>
        <v>0</v>
      </c>
      <c r="AF71" s="25">
        <f>G71*(1-0)</f>
        <v>0</v>
      </c>
    </row>
    <row r="72" spans="1:37" x14ac:dyDescent="0.2">
      <c r="A72" s="36">
        <v>55</v>
      </c>
      <c r="B72" s="4"/>
      <c r="C72" s="4" t="s">
        <v>170</v>
      </c>
      <c r="D72" s="4" t="s">
        <v>171</v>
      </c>
      <c r="E72" s="4" t="s">
        <v>53</v>
      </c>
      <c r="F72" s="12">
        <v>100</v>
      </c>
      <c r="G72" s="12">
        <v>0</v>
      </c>
      <c r="H72" s="12">
        <f>ROUND(F72*AE72,2)</f>
        <v>0</v>
      </c>
      <c r="I72" s="12">
        <f>J72-H72</f>
        <v>0</v>
      </c>
      <c r="J72" s="12">
        <f>ROUND(F72*G72,2)</f>
        <v>0</v>
      </c>
      <c r="K72" s="12">
        <v>0</v>
      </c>
      <c r="L72" s="12">
        <f>F72*K72</f>
        <v>0</v>
      </c>
      <c r="M72" s="22" t="s">
        <v>49</v>
      </c>
      <c r="N72" s="22" t="s">
        <v>45</v>
      </c>
      <c r="O72" s="12">
        <f>IF(N72="5",I72,0)</f>
        <v>0</v>
      </c>
      <c r="Z72" s="12">
        <f>IF(AD72=0,J72,0)</f>
        <v>0</v>
      </c>
      <c r="AA72" s="12">
        <f>IF(AD72=15,J72,0)</f>
        <v>0</v>
      </c>
      <c r="AB72" s="12">
        <f>IF(AD72=21,J72,0)</f>
        <v>0</v>
      </c>
      <c r="AD72" s="25">
        <v>15</v>
      </c>
      <c r="AE72" s="25">
        <f>G72*0.399462479666172</f>
        <v>0</v>
      </c>
      <c r="AF72" s="25">
        <f>G72*(1-0.399462479666172)</f>
        <v>0</v>
      </c>
    </row>
    <row r="73" spans="1:37" x14ac:dyDescent="0.2">
      <c r="A73" s="36">
        <v>56</v>
      </c>
      <c r="B73" s="4"/>
      <c r="C73" s="4" t="s">
        <v>172</v>
      </c>
      <c r="D73" s="4" t="s">
        <v>173</v>
      </c>
      <c r="E73" s="4" t="s">
        <v>53</v>
      </c>
      <c r="F73" s="12">
        <v>100</v>
      </c>
      <c r="G73" s="12">
        <v>0</v>
      </c>
      <c r="H73" s="12">
        <f>ROUND(F73*AE73,2)</f>
        <v>0</v>
      </c>
      <c r="I73" s="12">
        <f>J73-H73</f>
        <v>0</v>
      </c>
      <c r="J73" s="12">
        <f>ROUND(F73*G73,2)</f>
        <v>0</v>
      </c>
      <c r="K73" s="12">
        <v>0</v>
      </c>
      <c r="L73" s="12">
        <f>F73*K73</f>
        <v>0</v>
      </c>
      <c r="M73" s="22" t="s">
        <v>49</v>
      </c>
      <c r="N73" s="22" t="s">
        <v>45</v>
      </c>
      <c r="O73" s="12">
        <f>IF(N73="5",I73,0)</f>
        <v>0</v>
      </c>
      <c r="Z73" s="12">
        <f>IF(AD73=0,J73,0)</f>
        <v>0</v>
      </c>
      <c r="AA73" s="12">
        <f>IF(AD73=15,J73,0)</f>
        <v>0</v>
      </c>
      <c r="AB73" s="12">
        <f>IF(AD73=21,J73,0)</f>
        <v>0</v>
      </c>
      <c r="AD73" s="25">
        <v>15</v>
      </c>
      <c r="AE73" s="25">
        <f>G73*0</f>
        <v>0</v>
      </c>
      <c r="AF73" s="25">
        <f>G73*(1-0)</f>
        <v>0</v>
      </c>
    </row>
    <row r="74" spans="1:37" x14ac:dyDescent="0.2">
      <c r="A74" s="36">
        <v>57</v>
      </c>
      <c r="B74" s="4"/>
      <c r="C74" s="4" t="s">
        <v>174</v>
      </c>
      <c r="D74" s="4" t="s">
        <v>175</v>
      </c>
      <c r="E74" s="4" t="s">
        <v>53</v>
      </c>
      <c r="F74" s="12">
        <v>100</v>
      </c>
      <c r="G74" s="12">
        <v>0</v>
      </c>
      <c r="H74" s="12">
        <f>ROUND(F74*AE74,2)</f>
        <v>0</v>
      </c>
      <c r="I74" s="12">
        <f>J74-H74</f>
        <v>0</v>
      </c>
      <c r="J74" s="12">
        <f>ROUND(F74*G74,2)</f>
        <v>0</v>
      </c>
      <c r="K74" s="12">
        <v>2.9999999999999997E-4</v>
      </c>
      <c r="L74" s="12">
        <f>F74*K74</f>
        <v>0.03</v>
      </c>
      <c r="M74" s="22" t="s">
        <v>49</v>
      </c>
      <c r="N74" s="22" t="s">
        <v>45</v>
      </c>
      <c r="O74" s="12">
        <f>IF(N74="5",I74,0)</f>
        <v>0</v>
      </c>
      <c r="Z74" s="12">
        <f>IF(AD74=0,J74,0)</f>
        <v>0</v>
      </c>
      <c r="AA74" s="12">
        <f>IF(AD74=15,J74,0)</f>
        <v>0</v>
      </c>
      <c r="AB74" s="12">
        <f>IF(AD74=21,J74,0)</f>
        <v>0</v>
      </c>
      <c r="AD74" s="25">
        <v>15</v>
      </c>
      <c r="AE74" s="25">
        <f>G74*1</f>
        <v>0</v>
      </c>
      <c r="AF74" s="25">
        <f>G74*(1-1)</f>
        <v>0</v>
      </c>
    </row>
    <row r="75" spans="1:37" x14ac:dyDescent="0.2">
      <c r="A75" s="5"/>
      <c r="B75" s="41"/>
      <c r="C75" s="41" t="s">
        <v>176</v>
      </c>
      <c r="D75" s="68" t="s">
        <v>177</v>
      </c>
      <c r="E75" s="69"/>
      <c r="F75" s="69"/>
      <c r="G75" s="69"/>
      <c r="H75" s="27">
        <f>SUM(H77:H78)</f>
        <v>0</v>
      </c>
      <c r="I75" s="27">
        <f>SUM(I77:I78)</f>
        <v>0</v>
      </c>
      <c r="J75" s="27">
        <f>SUM(J76:J78)</f>
        <v>0</v>
      </c>
      <c r="K75" s="19"/>
      <c r="L75" s="27">
        <f>SUM(L77:L78)</f>
        <v>31.646000000000001</v>
      </c>
      <c r="M75" s="19"/>
      <c r="P75" s="27">
        <f>IF(Q75="PR",J75,SUM(O77:O78))</f>
        <v>0</v>
      </c>
      <c r="Q75" s="19" t="s">
        <v>44</v>
      </c>
      <c r="R75" s="27">
        <f>IF(Q75="HS",H75,0)</f>
        <v>0</v>
      </c>
      <c r="S75" s="27">
        <f>IF(Q75="HS",I75-P75,0)</f>
        <v>0</v>
      </c>
      <c r="T75" s="27">
        <f>IF(Q75="PS",H75,0)</f>
        <v>0</v>
      </c>
      <c r="U75" s="27">
        <f>IF(Q75="PS",I75-P75,0)</f>
        <v>0</v>
      </c>
      <c r="V75" s="27">
        <f>IF(Q75="MP",H75,0)</f>
        <v>0</v>
      </c>
      <c r="W75" s="27">
        <f>IF(Q75="MP",I75-P75,0)</f>
        <v>0</v>
      </c>
      <c r="X75" s="27">
        <f>IF(Q75="OM",H75,0)</f>
        <v>0</v>
      </c>
      <c r="Y75" s="19"/>
      <c r="AI75" s="27">
        <f>SUM(Z77:Z78)</f>
        <v>0</v>
      </c>
      <c r="AJ75" s="27">
        <f>SUM(AA77:AA78)</f>
        <v>0</v>
      </c>
      <c r="AK75" s="27">
        <f>SUM(AB77:AB78)</f>
        <v>0</v>
      </c>
    </row>
    <row r="76" spans="1:37" ht="25.5" x14ac:dyDescent="0.2">
      <c r="A76" s="38">
        <v>58</v>
      </c>
      <c r="B76" s="30"/>
      <c r="C76" s="4" t="s">
        <v>178</v>
      </c>
      <c r="D76" s="35" t="s">
        <v>179</v>
      </c>
      <c r="E76" s="4" t="s">
        <v>180</v>
      </c>
      <c r="F76" s="12">
        <v>72</v>
      </c>
      <c r="G76" s="12">
        <v>0</v>
      </c>
      <c r="H76" s="12">
        <v>4.9699999999999996E-3</v>
      </c>
      <c r="I76" s="12">
        <v>4.9699999999999996E-3</v>
      </c>
      <c r="J76" s="12">
        <f>+F76*G76</f>
        <v>0</v>
      </c>
      <c r="K76" s="34"/>
      <c r="L76" s="29"/>
      <c r="M76" s="34"/>
      <c r="P76" s="27"/>
      <c r="Q76" s="19"/>
      <c r="R76" s="27"/>
      <c r="S76" s="27"/>
      <c r="T76" s="27"/>
      <c r="U76" s="27"/>
      <c r="V76" s="27"/>
      <c r="W76" s="27"/>
      <c r="X76" s="27"/>
      <c r="Y76" s="19"/>
      <c r="AI76" s="27"/>
      <c r="AJ76" s="27"/>
      <c r="AK76" s="27"/>
    </row>
    <row r="77" spans="1:37" x14ac:dyDescent="0.2">
      <c r="A77" s="36">
        <v>59</v>
      </c>
      <c r="B77" s="4"/>
      <c r="C77" s="4" t="s">
        <v>181</v>
      </c>
      <c r="D77" s="4" t="s">
        <v>182</v>
      </c>
      <c r="E77" s="4" t="s">
        <v>62</v>
      </c>
      <c r="F77" s="12">
        <v>10</v>
      </c>
      <c r="G77" s="12">
        <v>0</v>
      </c>
      <c r="H77" s="12">
        <f>ROUND(F77*AE77,2)</f>
        <v>0</v>
      </c>
      <c r="I77" s="12">
        <f>J77-H77</f>
        <v>0</v>
      </c>
      <c r="J77" s="12">
        <f>ROUND(F77*G77,2)</f>
        <v>0</v>
      </c>
      <c r="K77" s="12">
        <v>2.2000000000000002</v>
      </c>
      <c r="L77" s="12">
        <f>F77*K77</f>
        <v>22</v>
      </c>
      <c r="M77" s="22" t="s">
        <v>49</v>
      </c>
      <c r="N77" s="22" t="s">
        <v>45</v>
      </c>
      <c r="O77" s="12">
        <f>IF(N77="5",I77,0)</f>
        <v>0</v>
      </c>
      <c r="Z77" s="12">
        <f>IF(AD77=0,J77,0)</f>
        <v>0</v>
      </c>
      <c r="AA77" s="12">
        <f>IF(AD77=15,J77,0)</f>
        <v>0</v>
      </c>
      <c r="AB77" s="12">
        <f>IF(AD77=21,J77,0)</f>
        <v>0</v>
      </c>
      <c r="AD77" s="25">
        <v>15</v>
      </c>
      <c r="AE77" s="25">
        <f>G77*0</f>
        <v>0</v>
      </c>
      <c r="AF77" s="25">
        <f>G77*(1-0)</f>
        <v>0</v>
      </c>
    </row>
    <row r="78" spans="1:37" ht="30.75" customHeight="1" x14ac:dyDescent="0.2">
      <c r="A78" s="38">
        <v>60</v>
      </c>
      <c r="B78" s="4"/>
      <c r="C78" s="33" t="s">
        <v>208</v>
      </c>
      <c r="D78" s="31" t="s">
        <v>207</v>
      </c>
      <c r="E78" s="4" t="s">
        <v>77</v>
      </c>
      <c r="F78" s="12">
        <v>742</v>
      </c>
      <c r="G78" s="12">
        <v>0</v>
      </c>
      <c r="H78" s="12">
        <f>ROUND(F78*AE78,2)</f>
        <v>0</v>
      </c>
      <c r="I78" s="12">
        <f>J78-H78</f>
        <v>0</v>
      </c>
      <c r="J78" s="12">
        <f>ROUND(F78*G78,2)</f>
        <v>0</v>
      </c>
      <c r="K78" s="12">
        <v>1.2999999999999999E-2</v>
      </c>
      <c r="L78" s="12">
        <f>F78*K78</f>
        <v>9.645999999999999</v>
      </c>
      <c r="M78" s="22" t="s">
        <v>49</v>
      </c>
      <c r="N78" s="22" t="s">
        <v>45</v>
      </c>
      <c r="O78" s="12">
        <f>IF(N78="5",I78,0)</f>
        <v>0</v>
      </c>
      <c r="Z78" s="12">
        <f>IF(AD78=0,J78,0)</f>
        <v>0</v>
      </c>
      <c r="AA78" s="12">
        <f>IF(AD78=15,J78,0)</f>
        <v>0</v>
      </c>
      <c r="AB78" s="12">
        <f>IF(AD78=21,J78,0)</f>
        <v>0</v>
      </c>
      <c r="AD78" s="25">
        <v>15</v>
      </c>
      <c r="AE78" s="25">
        <f>G78*0.25952380952381</f>
        <v>0</v>
      </c>
      <c r="AF78" s="25">
        <f>G78*(1-0.25952380952381)</f>
        <v>0</v>
      </c>
    </row>
    <row r="79" spans="1:37" x14ac:dyDescent="0.2">
      <c r="A79" s="5"/>
      <c r="B79" s="41"/>
      <c r="C79" s="41" t="s">
        <v>183</v>
      </c>
      <c r="D79" s="68" t="s">
        <v>184</v>
      </c>
      <c r="E79" s="69"/>
      <c r="F79" s="69"/>
      <c r="G79" s="69"/>
      <c r="H79" s="27">
        <f>SUM(H80:H82)</f>
        <v>0</v>
      </c>
      <c r="I79" s="27">
        <f>SUM(I80:I82)</f>
        <v>0</v>
      </c>
      <c r="J79" s="27">
        <f>H79+I79</f>
        <v>0</v>
      </c>
      <c r="K79" s="19"/>
      <c r="L79" s="27">
        <f>SUM(L80:L82)</f>
        <v>27.47</v>
      </c>
      <c r="M79" s="19"/>
      <c r="P79" s="27">
        <f>IF(Q79="PR",J79,SUM(O80:O82))</f>
        <v>0</v>
      </c>
      <c r="Q79" s="19" t="s">
        <v>44</v>
      </c>
      <c r="R79" s="27">
        <f>IF(Q79="HS",H79,0)</f>
        <v>0</v>
      </c>
      <c r="S79" s="27">
        <f>IF(Q79="HS",I79-P79,0)</f>
        <v>0</v>
      </c>
      <c r="T79" s="27">
        <f>IF(Q79="PS",H79,0)</f>
        <v>0</v>
      </c>
      <c r="U79" s="27">
        <f>IF(Q79="PS",I79-P79,0)</f>
        <v>0</v>
      </c>
      <c r="V79" s="27">
        <f>IF(Q79="MP",H79,0)</f>
        <v>0</v>
      </c>
      <c r="W79" s="27">
        <f>IF(Q79="MP",I79-P79,0)</f>
        <v>0</v>
      </c>
      <c r="X79" s="27">
        <f>IF(Q79="OM",H79,0)</f>
        <v>0</v>
      </c>
      <c r="Y79" s="19"/>
      <c r="AI79" s="27">
        <f>SUM(Z80:Z82)</f>
        <v>0</v>
      </c>
      <c r="AJ79" s="27">
        <f>SUM(AA80:AA82)</f>
        <v>0</v>
      </c>
      <c r="AK79" s="27">
        <f>SUM(AB80:AB82)</f>
        <v>0</v>
      </c>
    </row>
    <row r="80" spans="1:37" x14ac:dyDescent="0.2">
      <c r="A80" s="36">
        <v>61</v>
      </c>
      <c r="B80" s="4"/>
      <c r="C80" s="4" t="s">
        <v>185</v>
      </c>
      <c r="D80" s="4" t="s">
        <v>186</v>
      </c>
      <c r="E80" s="4" t="s">
        <v>62</v>
      </c>
      <c r="F80" s="12">
        <v>10</v>
      </c>
      <c r="G80" s="12">
        <v>0</v>
      </c>
      <c r="H80" s="12">
        <f>ROUND(F80*AE80,2)</f>
        <v>0</v>
      </c>
      <c r="I80" s="12">
        <f>J80-H80</f>
        <v>0</v>
      </c>
      <c r="J80" s="12">
        <f>ROUND(F80*G80,2)</f>
        <v>0</v>
      </c>
      <c r="K80" s="12">
        <v>2</v>
      </c>
      <c r="L80" s="12">
        <f>F80*K80</f>
        <v>20</v>
      </c>
      <c r="M80" s="22" t="s">
        <v>49</v>
      </c>
      <c r="N80" s="22" t="s">
        <v>45</v>
      </c>
      <c r="O80" s="12">
        <f>IF(N80="5",I80,0)</f>
        <v>0</v>
      </c>
      <c r="Z80" s="12">
        <f>IF(AD80=0,J80,0)</f>
        <v>0</v>
      </c>
      <c r="AA80" s="12">
        <f>IF(AD80=15,J80,0)</f>
        <v>0</v>
      </c>
      <c r="AB80" s="12">
        <f>IF(AD80=21,J80,0)</f>
        <v>0</v>
      </c>
      <c r="AD80" s="25">
        <v>15</v>
      </c>
      <c r="AE80" s="25">
        <f>G80*0.0223742563547864</f>
        <v>0</v>
      </c>
      <c r="AF80" s="25">
        <f>G80*(1-0.0223742563547864)</f>
        <v>0</v>
      </c>
    </row>
    <row r="81" spans="1:38" x14ac:dyDescent="0.2">
      <c r="A81" s="36">
        <v>62</v>
      </c>
      <c r="B81" s="4"/>
      <c r="C81" s="4" t="s">
        <v>187</v>
      </c>
      <c r="D81" s="4" t="s">
        <v>188</v>
      </c>
      <c r="E81" s="4" t="s">
        <v>77</v>
      </c>
      <c r="F81" s="12">
        <v>710</v>
      </c>
      <c r="G81" s="12">
        <v>0</v>
      </c>
      <c r="H81" s="12">
        <f>ROUND(F81*AE81,2)</f>
        <v>0</v>
      </c>
      <c r="I81" s="12">
        <f>J81-H81</f>
        <v>0</v>
      </c>
      <c r="J81" s="12">
        <f>ROUND(F81*G81,2)</f>
        <v>0</v>
      </c>
      <c r="K81" s="12">
        <v>8.9999999999999993E-3</v>
      </c>
      <c r="L81" s="12">
        <f>F81*K81</f>
        <v>6.39</v>
      </c>
      <c r="M81" s="22" t="s">
        <v>49</v>
      </c>
      <c r="N81" s="22" t="s">
        <v>45</v>
      </c>
      <c r="O81" s="12">
        <f>IF(N81="5",I81,0)</f>
        <v>0</v>
      </c>
      <c r="Z81" s="12">
        <f>IF(AD81=0,J81,0)</f>
        <v>0</v>
      </c>
      <c r="AA81" s="12">
        <f>IF(AD81=15,J81,0)</f>
        <v>0</v>
      </c>
      <c r="AB81" s="12">
        <f>IF(AD81=21,J81,0)</f>
        <v>0</v>
      </c>
      <c r="AD81" s="25">
        <v>15</v>
      </c>
      <c r="AE81" s="25">
        <f>G81*0.14234693877551</f>
        <v>0</v>
      </c>
      <c r="AF81" s="25">
        <f>G81*(1-0.14234693877551)</f>
        <v>0</v>
      </c>
    </row>
    <row r="82" spans="1:38" ht="25.5" x14ac:dyDescent="0.2">
      <c r="A82" s="36">
        <v>63</v>
      </c>
      <c r="B82" s="4"/>
      <c r="C82" s="4" t="s">
        <v>189</v>
      </c>
      <c r="D82" s="31" t="s">
        <v>190</v>
      </c>
      <c r="E82" s="4" t="s">
        <v>77</v>
      </c>
      <c r="F82" s="12">
        <v>20</v>
      </c>
      <c r="G82" s="12">
        <v>0</v>
      </c>
      <c r="H82" s="12">
        <f>ROUND(F82*AE82,2)</f>
        <v>0</v>
      </c>
      <c r="I82" s="12">
        <f>J82-H82</f>
        <v>0</v>
      </c>
      <c r="J82" s="12">
        <f>ROUND(F82*G82,2)</f>
        <v>0</v>
      </c>
      <c r="K82" s="12">
        <v>5.3999999999999999E-2</v>
      </c>
      <c r="L82" s="12">
        <f>F82*K82</f>
        <v>1.08</v>
      </c>
      <c r="M82" s="22" t="s">
        <v>49</v>
      </c>
      <c r="N82" s="22" t="s">
        <v>45</v>
      </c>
      <c r="O82" s="12">
        <f>IF(N82="5",I82,0)</f>
        <v>0</v>
      </c>
      <c r="Z82" s="12">
        <f>IF(AD82=0,J82,0)</f>
        <v>0</v>
      </c>
      <c r="AA82" s="12">
        <f>IF(AD82=15,J82,0)</f>
        <v>0</v>
      </c>
      <c r="AB82" s="12">
        <f>IF(AD82=21,J82,0)</f>
        <v>0</v>
      </c>
      <c r="AD82" s="25">
        <v>15</v>
      </c>
      <c r="AE82" s="25">
        <f>G82*0.0563636363636364</f>
        <v>0</v>
      </c>
      <c r="AF82" s="25">
        <f>G82*(1-0.0563636363636364)</f>
        <v>0</v>
      </c>
    </row>
    <row r="83" spans="1:38" x14ac:dyDescent="0.2">
      <c r="A83" s="5"/>
      <c r="B83" s="41"/>
      <c r="C83" s="41" t="s">
        <v>191</v>
      </c>
      <c r="D83" s="68" t="s">
        <v>192</v>
      </c>
      <c r="E83" s="69"/>
      <c r="F83" s="69"/>
      <c r="G83" s="69"/>
      <c r="H83" s="27">
        <f>SUM(H84:H86)</f>
        <v>0</v>
      </c>
      <c r="I83" s="27">
        <f>SUM(I84:I86)</f>
        <v>0</v>
      </c>
      <c r="J83" s="27">
        <f>H83+I83</f>
        <v>0</v>
      </c>
      <c r="K83" s="19"/>
      <c r="L83" s="27">
        <f>SUM(L84:L86)</f>
        <v>0</v>
      </c>
      <c r="M83" s="19"/>
      <c r="P83" s="27">
        <f>IF(Q83="PR",J83,SUM(O84:O86))</f>
        <v>0</v>
      </c>
      <c r="Q83" s="19" t="s">
        <v>193</v>
      </c>
      <c r="R83" s="27">
        <f>IF(Q83="HS",H83,0)</f>
        <v>0</v>
      </c>
      <c r="S83" s="27">
        <f>IF(Q83="HS",I83-P83,0)</f>
        <v>0</v>
      </c>
      <c r="T83" s="27">
        <f>IF(Q83="PS",H83,0)</f>
        <v>0</v>
      </c>
      <c r="U83" s="27">
        <f>IF(Q83="PS",I83-P83,0)</f>
        <v>0</v>
      </c>
      <c r="V83" s="27">
        <f>IF(Q83="MP",H83,0)</f>
        <v>0</v>
      </c>
      <c r="W83" s="27">
        <f>IF(Q83="MP",I83-P83,0)</f>
        <v>0</v>
      </c>
      <c r="X83" s="27">
        <f>IF(Q83="OM",H83,0)</f>
        <v>0</v>
      </c>
      <c r="Y83" s="19"/>
      <c r="AI83" s="27">
        <f>SUM(Z84:Z86)</f>
        <v>0</v>
      </c>
      <c r="AJ83" s="27">
        <f>SUM(AA84:AA86)</f>
        <v>0</v>
      </c>
      <c r="AK83" s="27">
        <f>SUM(AB84:AB86)</f>
        <v>0</v>
      </c>
    </row>
    <row r="84" spans="1:38" x14ac:dyDescent="0.2">
      <c r="A84" s="36">
        <v>64</v>
      </c>
      <c r="B84" s="4"/>
      <c r="C84" s="4" t="s">
        <v>194</v>
      </c>
      <c r="D84" s="4" t="s">
        <v>195</v>
      </c>
      <c r="E84" s="4" t="s">
        <v>124</v>
      </c>
      <c r="F84" s="43">
        <v>59.2</v>
      </c>
      <c r="G84" s="12">
        <v>0</v>
      </c>
      <c r="H84" s="12">
        <f>ROUND(F84*AE84,2)</f>
        <v>0</v>
      </c>
      <c r="I84" s="12">
        <f>J84-H84</f>
        <v>0</v>
      </c>
      <c r="J84" s="12">
        <f>ROUND(F84*G84,2)</f>
        <v>0</v>
      </c>
      <c r="K84" s="12">
        <v>0</v>
      </c>
      <c r="L84" s="12">
        <f>F84*K84</f>
        <v>0</v>
      </c>
      <c r="M84" s="22" t="s">
        <v>49</v>
      </c>
      <c r="N84" s="22" t="s">
        <v>63</v>
      </c>
      <c r="O84" s="12">
        <f>IF(N84="5",I84,0)</f>
        <v>0</v>
      </c>
      <c r="Z84" s="12">
        <f>IF(AD84=0,J84,0)</f>
        <v>0</v>
      </c>
      <c r="AA84" s="12">
        <f>IF(AD84=15,J84,0)</f>
        <v>0</v>
      </c>
      <c r="AB84" s="12">
        <f>IF(AD84=21,J84,0)</f>
        <v>0</v>
      </c>
      <c r="AD84" s="25">
        <v>15</v>
      </c>
      <c r="AE84" s="25">
        <f>G84*0</f>
        <v>0</v>
      </c>
      <c r="AF84" s="25">
        <f>G84*(1-0)</f>
        <v>0</v>
      </c>
    </row>
    <row r="85" spans="1:38" x14ac:dyDescent="0.2">
      <c r="A85" s="36">
        <v>65</v>
      </c>
      <c r="B85" s="4"/>
      <c r="C85" s="4" t="s">
        <v>196</v>
      </c>
      <c r="D85" s="4" t="s">
        <v>197</v>
      </c>
      <c r="E85" s="4" t="s">
        <v>124</v>
      </c>
      <c r="F85" s="12">
        <v>59.2</v>
      </c>
      <c r="G85" s="12">
        <v>0</v>
      </c>
      <c r="H85" s="12">
        <f>ROUND(F85*AE85,2)</f>
        <v>0</v>
      </c>
      <c r="I85" s="12">
        <f>J85-H85</f>
        <v>0</v>
      </c>
      <c r="J85" s="12">
        <f>ROUND(F85*G85,2)</f>
        <v>0</v>
      </c>
      <c r="K85" s="12">
        <v>0</v>
      </c>
      <c r="L85" s="12">
        <f>F85*K85</f>
        <v>0</v>
      </c>
      <c r="M85" s="22" t="s">
        <v>49</v>
      </c>
      <c r="N85" s="22" t="s">
        <v>63</v>
      </c>
      <c r="O85" s="12">
        <f>IF(N85="5",I85,0)</f>
        <v>0</v>
      </c>
      <c r="Z85" s="12">
        <f>IF(AD85=0,J85,0)</f>
        <v>0</v>
      </c>
      <c r="AA85" s="12">
        <f>IF(AD85=15,J85,0)</f>
        <v>0</v>
      </c>
      <c r="AB85" s="12">
        <f>IF(AD85=21,J85,0)</f>
        <v>0</v>
      </c>
      <c r="AD85" s="25">
        <v>15</v>
      </c>
      <c r="AE85" s="25">
        <f>G85*0</f>
        <v>0</v>
      </c>
      <c r="AF85" s="25">
        <f>G85*(1-0)</f>
        <v>0</v>
      </c>
    </row>
    <row r="86" spans="1:38" x14ac:dyDescent="0.2">
      <c r="A86" s="36">
        <v>66</v>
      </c>
      <c r="B86" s="4"/>
      <c r="C86" s="4" t="s">
        <v>198</v>
      </c>
      <c r="D86" s="4" t="s">
        <v>199</v>
      </c>
      <c r="E86" s="4" t="s">
        <v>124</v>
      </c>
      <c r="F86" s="12">
        <v>59.2</v>
      </c>
      <c r="G86" s="12">
        <v>0</v>
      </c>
      <c r="H86" s="12">
        <f>ROUND(F86*AE86,2)</f>
        <v>0</v>
      </c>
      <c r="I86" s="12">
        <f>J86-H86</f>
        <v>0</v>
      </c>
      <c r="J86" s="12">
        <f>ROUND(F86*G86,2)</f>
        <v>0</v>
      </c>
      <c r="K86" s="12">
        <v>0</v>
      </c>
      <c r="L86" s="12">
        <f>F86*K86</f>
        <v>0</v>
      </c>
      <c r="M86" s="22" t="s">
        <v>49</v>
      </c>
      <c r="N86" s="22" t="s">
        <v>63</v>
      </c>
      <c r="O86" s="12">
        <f>IF(N86="5",I86,0)</f>
        <v>0</v>
      </c>
      <c r="Z86" s="12">
        <f>IF(AD86=0,J86,0)</f>
        <v>0</v>
      </c>
      <c r="AA86" s="12">
        <f>IF(AD86=15,J86,0)</f>
        <v>0</v>
      </c>
      <c r="AB86" s="12">
        <f>IF(AD86=21,J86,0)</f>
        <v>0</v>
      </c>
      <c r="AD86" s="25">
        <v>15</v>
      </c>
      <c r="AE86" s="25">
        <f>G86*0</f>
        <v>0</v>
      </c>
      <c r="AF86" s="25">
        <f>G86*(1-0)</f>
        <v>0</v>
      </c>
    </row>
    <row r="87" spans="1:38" x14ac:dyDescent="0.2">
      <c r="A87" s="5"/>
      <c r="B87" s="41"/>
      <c r="C87" s="42" t="s">
        <v>200</v>
      </c>
      <c r="D87" s="70" t="s">
        <v>201</v>
      </c>
      <c r="E87" s="69"/>
      <c r="F87" s="69"/>
      <c r="G87" s="69"/>
      <c r="H87" s="27">
        <f>SUM(H88:H88)</f>
        <v>0</v>
      </c>
      <c r="I87" s="27">
        <f>SUM(I88:I88)</f>
        <v>0</v>
      </c>
      <c r="J87" s="27">
        <f>+J88</f>
        <v>0</v>
      </c>
      <c r="K87" s="19"/>
      <c r="L87" s="27">
        <f>SUM(L88:L88)</f>
        <v>0</v>
      </c>
      <c r="M87" s="19"/>
      <c r="N87" s="22"/>
      <c r="O87" s="1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12"/>
      <c r="AA87" s="12"/>
      <c r="AB87" s="12"/>
      <c r="AC87" s="32"/>
      <c r="AD87" s="25"/>
      <c r="AE87" s="25"/>
      <c r="AF87" s="25"/>
      <c r="AG87" s="32"/>
      <c r="AH87" s="32"/>
      <c r="AI87" s="32"/>
      <c r="AJ87" s="32"/>
      <c r="AK87" s="32"/>
      <c r="AL87" s="32"/>
    </row>
    <row r="88" spans="1:38" ht="25.5" x14ac:dyDescent="0.2">
      <c r="A88" s="37">
        <v>67</v>
      </c>
      <c r="B88" s="4"/>
      <c r="C88" s="4" t="s">
        <v>202</v>
      </c>
      <c r="D88" s="35" t="s">
        <v>203</v>
      </c>
      <c r="E88" s="12" t="s">
        <v>204</v>
      </c>
      <c r="F88" s="12">
        <v>15</v>
      </c>
      <c r="G88" s="12">
        <v>0</v>
      </c>
      <c r="H88" s="12">
        <f>ROUND(F88*AE88,2)</f>
        <v>0</v>
      </c>
      <c r="I88" s="12">
        <f>ROUND(G88*AF88,2)</f>
        <v>0</v>
      </c>
      <c r="J88" s="12">
        <f>+F88*G88</f>
        <v>0</v>
      </c>
      <c r="K88" s="12"/>
      <c r="L88" s="12"/>
      <c r="M88" s="22"/>
      <c r="N88" s="22"/>
      <c r="O88" s="12"/>
      <c r="Z88" s="12"/>
      <c r="AA88" s="12"/>
      <c r="AB88" s="12"/>
      <c r="AD88" s="25"/>
      <c r="AE88" s="25"/>
      <c r="AF88" s="25"/>
    </row>
    <row r="89" spans="1:38" x14ac:dyDescent="0.2">
      <c r="A89" s="6"/>
      <c r="B89" s="6"/>
      <c r="C89" s="6"/>
      <c r="D89" s="6"/>
      <c r="E89" s="6"/>
      <c r="F89" s="6"/>
      <c r="G89" s="6"/>
      <c r="H89" s="71" t="s">
        <v>205</v>
      </c>
      <c r="I89" s="72"/>
      <c r="J89" s="28">
        <f>J12+J16+J20+J49+J70+J75+J79+J83+J88</f>
        <v>0</v>
      </c>
      <c r="K89" s="6"/>
      <c r="L89" s="6"/>
      <c r="M89" s="6"/>
      <c r="Z89" s="29">
        <f>SUM(Z13:Z86)</f>
        <v>0</v>
      </c>
      <c r="AA89" s="29">
        <f>SUM(AA13:AA86)</f>
        <v>0</v>
      </c>
      <c r="AB89" s="29">
        <f>SUM(AB13:AB86)</f>
        <v>0</v>
      </c>
    </row>
    <row r="90" spans="1:38" ht="11.25" customHeight="1" x14ac:dyDescent="0.2">
      <c r="A90" s="7" t="s">
        <v>206</v>
      </c>
    </row>
    <row r="91" spans="1:38" ht="409.6" hidden="1" customHeight="1" x14ac:dyDescent="0.2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</row>
  </sheetData>
  <mergeCells count="38">
    <mergeCell ref="D16:G16"/>
    <mergeCell ref="D20:G20"/>
    <mergeCell ref="A91:M91"/>
    <mergeCell ref="D87:G87"/>
    <mergeCell ref="D70:G70"/>
    <mergeCell ref="D75:G75"/>
    <mergeCell ref="D79:G79"/>
    <mergeCell ref="D83:G83"/>
    <mergeCell ref="H89:I89"/>
    <mergeCell ref="D49:G49"/>
    <mergeCell ref="H10:J10"/>
    <mergeCell ref="I8:I9"/>
    <mergeCell ref="J8:M9"/>
    <mergeCell ref="K10:L10"/>
    <mergeCell ref="D12:G12"/>
    <mergeCell ref="E6:F7"/>
    <mergeCell ref="G6:H7"/>
    <mergeCell ref="I6:I7"/>
    <mergeCell ref="A8:C9"/>
    <mergeCell ref="D8:D9"/>
    <mergeCell ref="E8:F9"/>
    <mergeCell ref="G8:H9"/>
    <mergeCell ref="J6:M7"/>
    <mergeCell ref="J4:M5"/>
    <mergeCell ref="A1:M1"/>
    <mergeCell ref="A2:C3"/>
    <mergeCell ref="D2:D3"/>
    <mergeCell ref="E2:F3"/>
    <mergeCell ref="G2:H3"/>
    <mergeCell ref="I2:I3"/>
    <mergeCell ref="J2:M3"/>
    <mergeCell ref="A4:C5"/>
    <mergeCell ref="D4:D5"/>
    <mergeCell ref="E4:F5"/>
    <mergeCell ref="G4:H5"/>
    <mergeCell ref="I4:I5"/>
    <mergeCell ref="A6:C7"/>
    <mergeCell ref="D6:D7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Stavební rozpočet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margetin</dc:creator>
  <cp:lastModifiedBy>admin</cp:lastModifiedBy>
  <cp:revision/>
  <dcterms:created xsi:type="dcterms:W3CDTF">2016-01-26T10:57:43Z</dcterms:created>
  <dcterms:modified xsi:type="dcterms:W3CDTF">2020-06-01T08:23:15Z</dcterms:modified>
</cp:coreProperties>
</file>