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5" activeTab="1"/>
  </bookViews>
  <sheets>
    <sheet name="Rekapitulácia stavby" sheetId="1" r:id="rId1"/>
    <sheet name="SO-01 K..." sheetId="2" r:id="rId2"/>
  </sheets>
  <definedNames>
    <definedName name="_xlnm._FilterDatabase" localSheetId="1" hidden="1">'SO-01 K...'!$B$136:$J$269</definedName>
    <definedName name="_xlnm._FilterDatabase" localSheetId="1">'SO-01 K...'!$B$136:$J$269</definedName>
    <definedName name="_xlnm._FilterDatabase_1">'SO-01 K...'!$B$136:$J$269</definedName>
    <definedName name="_xlnm.Print_Area" localSheetId="0">('Rekapitulácia stavby'!$D$4:$AO$76,'Rekapitulácia stavby'!$C$82:$AQ$99)</definedName>
    <definedName name="_xlnm.Print_Area" localSheetId="1">('SO-01 K...'!$B$4:$I$76,'SO-01 K...'!$B$82:$I$118,'SO-01 K...'!$B$124:$I$269)</definedName>
    <definedName name="_xlnm.Print_Titles" localSheetId="0">'Rekapitulácia stavby'!$92:$92</definedName>
    <definedName name="_xlnm.Print_Titles" localSheetId="1">'SO-01 K...'!$A$136:$IU$136</definedName>
    <definedName name="Excel_BuiltIn_Print_Titles" localSheetId="1">'SO-01 K...'!$A$136:$IU$136</definedName>
    <definedName name="_xlnm.Print_Titles" localSheetId="0">'Rekapitulácia stavby'!$92:$92</definedName>
    <definedName name="_xlnm.Print_Titles" localSheetId="1">'SO-01 K...'!$136:$136</definedName>
    <definedName name="_xlnm.Print_Area" localSheetId="0">('Rekapitulácia stavby'!$D$4:$AO$76,'Rekapitulácia stavby'!$C$82:$AQ$99)</definedName>
    <definedName name="_xlnm.Print_Area" localSheetId="1">('SO-01 K...'!$B$4:$I$76,'SO-01 K...'!$B$82:$I$118,'SO-01 K...'!$B$124:$I$269)</definedName>
  </definedNames>
  <calcPr fullCalcOnLoad="1"/>
</workbook>
</file>

<file path=xl/sharedStrings.xml><?xml version="1.0" encoding="utf-8"?>
<sst xmlns="http://schemas.openxmlformats.org/spreadsheetml/2006/main" count="1840" uniqueCount="559">
  <si>
    <t>Export Komplet</t>
  </si>
  <si>
    <t>2.0</t>
  </si>
  <si>
    <t>False</t>
  </si>
  <si>
    <t>{abdeed2d-9f3e-4603-a957-dd3b6a01cdbc}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</si>
  <si>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</si>
  <si>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</si>
  <si>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</si>
  <si>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</si>
  <si>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</si>
  <si>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</si>
  <si>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</si>
  <si>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05</t>
  </si>
  <si>
    <t>Stavba:</t>
  </si>
  <si>
    <t xml:space="preserve">Revitalizácia vnútroblokov CMZ v meste Žiar nad Hronom, 2. fáza 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</si>
  <si>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</si>
  <si>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</si>
  <si>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</si>
  <si>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</si>
  <si>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</si>
  <si>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</si>
  <si>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</si>
  <si>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MsÚ Žiar nad Hronom</t>
  </si>
  <si>
    <t>IČ DPH:</t>
  </si>
  <si>
    <t>Zhotoviteľ:</t>
  </si>
  <si>
    <t>vyplň údaj</t>
  </si>
  <si>
    <t>Projektant:</t>
  </si>
  <si>
    <t>Green Architecture SK, s.r.o.</t>
  </si>
  <si>
    <t>SK2023807016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</si>
  <si>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</si>
  <si>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</si>
  <si>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</si>
  <si>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</si>
  <si>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</si>
  <si>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</si>
  <si>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</si>
  <si>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</si>
  <si>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</si>
  <si>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</si>
  <si>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</si>
  <si>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</si>
  <si>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</si>
  <si>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</si>
  <si>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</si>
  <si>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</si>
  <si>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</si>
  <si>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</si>
  <si>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</si>
  <si>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</si>
  <si>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</si>
  <si>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</si>
  <si>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</si>
  <si>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</si>
  <si>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</si>
  <si>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</si>
  <si>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</si>
  <si>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</si>
  <si>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</si>
  <si>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</si>
  <si>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</si>
  <si>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</si>
  <si>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</si>
  <si>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</si>
  <si>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</si>
  <si>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</si>
  <si>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</si>
  <si>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</si>
  <si>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</si>
  <si>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</si>
  <si>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</si>
  <si>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</si>
  <si>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</si>
  <si>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</si>
  <si>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</si>
  <si>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</si>
  <si>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</si>
  <si>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</si>
  <si>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</si>
  <si>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</si>
  <si>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SO-01 Krajinná architektúra</t>
  </si>
  <si>
    <t>STA</t>
  </si>
  <si>
    <t>1</t>
  </si>
  <si>
    <t>{1cd71273-95a7-47bf-bcc9-08edb44f51d2}</t>
  </si>
  <si>
    <t>2) Ostatné náklady zo súhrnného listu</t>
  </si>
  <si>
    <t>Percent. zadanie_x005F_x000D_
[% nákladov rozpočtu]</t>
  </si>
  <si>
    <t>Zaradenie nákladov</t>
  </si>
  <si>
    <t>Celkové náklady za stavbu 1) + 2)</t>
  </si>
  <si>
    <t>KRYCÍ LIST ROZPOČTU</t>
  </si>
  <si>
    <t>Objekt: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</si>
  <si>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</si>
  <si>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</si>
  <si>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</si>
  <si>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</si>
  <si>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</si>
  <si>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</si>
  <si>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</si>
  <si>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</si>
  <si>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</si>
  <si>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</si>
  <si>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D3 - Ostatný materiál</t>
  </si>
  <si>
    <t xml:space="preserve">    D2 - Rastlinný materiál – dreviny</t>
  </si>
  <si>
    <t xml:space="preserve">    D0 – Rastlinný materiál – trvalky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</si>
  <si>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</si>
  <si>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</si>
  <si>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</si>
  <si>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</si>
  <si>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</si>
  <si>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</si>
  <si>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 xml:space="preserve">    800 – Konštrukcie tesárske</t>
  </si>
  <si>
    <t>OST - Ostatné</t>
  </si>
  <si>
    <t>HSV - Práce a dodávky HSV pre herné a workoutové prvky</t>
  </si>
  <si>
    <t xml:space="preserve">   HP 1 - Zemné a búracie práce</t>
  </si>
  <si>
    <t xml:space="preserve">    HP M – Práce a dodávky pre herné a workoutové prvky</t>
  </si>
  <si>
    <t xml:space="preserve">    HP998 – Presun hmôt a ostatné</t>
  </si>
  <si>
    <t>2) Ostatné náklady</t>
  </si>
  <si>
    <t>rezerva na možné navýšenie ceny z dôvodu zvyšovania cien materiálov a prác (10% z celkových nákladov)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</si>
  <si>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</si>
  <si>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</si>
  <si>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</si>
  <si>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</si>
  <si>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</si>
  <si>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</si>
  <si>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</si>
  <si>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</si>
  <si>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</si>
  <si>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</si>
  <si>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</si>
  <si>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</si>
  <si>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</si>
  <si>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</si>
  <si>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</si>
  <si>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</si>
  <si>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</si>
  <si>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112101119.S</t>
  </si>
  <si>
    <t>Vyrúbanie stromu listnatého vo svahu do 1:5 priem. kmeňa nad 900 mm</t>
  </si>
  <si>
    <t>ks</t>
  </si>
  <si>
    <t>4</t>
  </si>
  <si>
    <t>2</t>
  </si>
  <si>
    <t>1581066807</t>
  </si>
  <si>
    <t>112101119.r</t>
  </si>
  <si>
    <t>Odvoz a likvidácia stromu s  priem. kmeňa nad 900 mm, vrátane poplatku</t>
  </si>
  <si>
    <t>1998000874</t>
  </si>
  <si>
    <t>112201119.S</t>
  </si>
  <si>
    <t>Odstránenie pňa v rovine a na svahu do 1:5, priemer nad 900mm</t>
  </si>
  <si>
    <t>422267308</t>
  </si>
  <si>
    <t>112101116.S</t>
  </si>
  <si>
    <t>Vyrúbanie stromu listnatého vo svahu do 1:5 priem. kmeňa od 600 do 700 mm</t>
  </si>
  <si>
    <t>112101116.r</t>
  </si>
  <si>
    <t>Odvoz a likvidácia stromu s  priem. kmeňa od 600 do 700 mm, vrátane poplatku</t>
  </si>
  <si>
    <t>112201116.S</t>
  </si>
  <si>
    <t>Odstránenie pňa v rovine a na svahu do 1:5, priemer od 600 do 700 mm</t>
  </si>
  <si>
    <t>112101115.S</t>
  </si>
  <si>
    <t>Vyrúbanie stromu listnatého vo svahu do 1:5 priem. kmeňa od 500 do 600 mm</t>
  </si>
  <si>
    <t>112101115.r</t>
  </si>
  <si>
    <t>Odvoz a likvidácia stromu s  priem. kmeňa od 500 do 600 mm vrátane poplatku</t>
  </si>
  <si>
    <t>112201115.S</t>
  </si>
  <si>
    <t>Odstránenie pňa v rovine a na svahu do 1:5, priemer od 500 do 600 mm</t>
  </si>
  <si>
    <t>112101114.S</t>
  </si>
  <si>
    <t>Vyrúbanie stromu vo svahu do 1:5 priem. kmeňa nad 400 do 500 mm</t>
  </si>
  <si>
    <t>-376337647</t>
  </si>
  <si>
    <t>112101114.r</t>
  </si>
  <si>
    <t>Odvoz a likvidácia stromu s  priem. kmeňa od 400 do 500 mm, vrátane poplatku</t>
  </si>
  <si>
    <t>112201114.S</t>
  </si>
  <si>
    <t>Odstránenie pňa v rovine a na svahu do 1:5, priemer od 400 do 500 mm</t>
  </si>
  <si>
    <t>112101113.S</t>
  </si>
  <si>
    <t>Vyrúbanie stromu listnatého vo svahu do 1:5 priem. kmeňa nad 300 do 400 mm</t>
  </si>
  <si>
    <t>41258095</t>
  </si>
  <si>
    <t>112101113.r</t>
  </si>
  <si>
    <t>Odvoz a likvidácia stromu s  priem. kmeňanad 300 do 400 mm, vrátane poplatku</t>
  </si>
  <si>
    <t>112201113.S</t>
  </si>
  <si>
    <t>Odstránenie pňa v rovine a na svahu do 1:5, priemer nad 300 do 400 mm</t>
  </si>
  <si>
    <t>113107141.S</t>
  </si>
  <si>
    <t xml:space="preserve">Odstránenie krytu v ploche do 200 m2 asfaltového, hr. vrstvy do 50 mm,  </t>
  </si>
  <si>
    <t>m2</t>
  </si>
  <si>
    <t>508439890</t>
  </si>
  <si>
    <t>113152530.S</t>
  </si>
  <si>
    <t>Frézovanie asf. podkladu alebo krytu bez prek., plochy cez 1000 do 10000 m2, pruh š. do 1 m, hr. 50 mm  0,127 t</t>
  </si>
  <si>
    <t>-1916349621</t>
  </si>
  <si>
    <t>113307133.SS</t>
  </si>
  <si>
    <t xml:space="preserve">Odstránenie podkladu v ploche nad 200 m2 z betónu prostého, hr. vrstvy 150 do 300 mm, </t>
  </si>
  <si>
    <t>236447995</t>
  </si>
  <si>
    <t>132201101.S</t>
  </si>
  <si>
    <t>Výkop ryhy do šírky 600 mm v horn.3 do 100 m3</t>
  </si>
  <si>
    <t>m3</t>
  </si>
  <si>
    <t>-1689196887</t>
  </si>
  <si>
    <t>132201109.S</t>
  </si>
  <si>
    <t>Príplatok k cene za lepivosť pri hĺbení rýh šírky do 600 mm zapažených i nezapažených s urovnaním dna v hornine 3</t>
  </si>
  <si>
    <t>-1204034469</t>
  </si>
  <si>
    <t>162201101.S</t>
  </si>
  <si>
    <t>Vodorovné premiestnenie výkopku z horniny 1-4 do 20m</t>
  </si>
  <si>
    <t>-117714337</t>
  </si>
  <si>
    <t>171101104.S</t>
  </si>
  <si>
    <t>Uloženie sypaniny do násypu  súdržnej horniny s mierou zhutnenia nad 100 do 102 % podľa Proctor-Standard</t>
  </si>
  <si>
    <t>-1515798074</t>
  </si>
  <si>
    <t>M</t>
  </si>
  <si>
    <t>103640000200.S</t>
  </si>
  <si>
    <t>Zemina pre terénne úpravy - zásypová, vrátane dovozu</t>
  </si>
  <si>
    <t>t</t>
  </si>
  <si>
    <t>8</t>
  </si>
  <si>
    <t>-1718825837</t>
  </si>
  <si>
    <t>171201101.S</t>
  </si>
  <si>
    <t>Uloženie sypaniny do násypov s rozprestretím sypaniny vo vrstvách a s hrubým urovnaním nezhutnených</t>
  </si>
  <si>
    <t>1770765114</t>
  </si>
  <si>
    <t>180402111.S</t>
  </si>
  <si>
    <t>Založenie trávnika parkového výsevom v rovine do 1:5</t>
  </si>
  <si>
    <t>-1650801503</t>
  </si>
  <si>
    <t>00572112006</t>
  </si>
  <si>
    <t>Trávna semenná zmes pre trávniky s vysokým pobytovým zaťažením</t>
  </si>
  <si>
    <t>185803211</t>
  </si>
  <si>
    <t>Povalcovanie trávnika v rovine alebo na svahu do 1:5</t>
  </si>
  <si>
    <t>64</t>
  </si>
  <si>
    <t>185803411</t>
  </si>
  <si>
    <t>Vyhrabanie trávnika v rovine alebo na svahu do 1:5</t>
  </si>
  <si>
    <t>66</t>
  </si>
  <si>
    <t>183405211</t>
  </si>
  <si>
    <t>Založenie kvetinovej nízkej lúky</t>
  </si>
  <si>
    <t>00572112007</t>
  </si>
  <si>
    <t>Osivá xerofytnej trávnato-kvetinovej lúčnej zmesi</t>
  </si>
  <si>
    <t>181101121</t>
  </si>
  <si>
    <t>Hrubé urovnanie terénu</t>
  </si>
  <si>
    <t>22</t>
  </si>
  <si>
    <t>183101111.S</t>
  </si>
  <si>
    <t>Hĺbenie jamky v rovine alebo na svahu do 1:5, objem do 0,01 m3</t>
  </si>
  <si>
    <t>24</t>
  </si>
  <si>
    <t>183101112.S</t>
  </si>
  <si>
    <t>Hĺbenie jamky v rovine alebo na svahu do 1:5, objem nad 0,01 do 0,02 m3</t>
  </si>
  <si>
    <t>479874268</t>
  </si>
  <si>
    <t>183101115.S</t>
  </si>
  <si>
    <t>Hĺbenie jamky v rovine alebo na svahu do 1:5, objem nad 0,125 do 0,40 m3</t>
  </si>
  <si>
    <t>-1568922050</t>
  </si>
  <si>
    <t>183101121</t>
  </si>
  <si>
    <t>Hĺbenie jamky v rovine alebo na svahu do 1:5, objem nad 0,40 do 1,00 m3</t>
  </si>
  <si>
    <t>28</t>
  </si>
  <si>
    <t>183204112.0.T</t>
  </si>
  <si>
    <t>Výsadba trvaliek – extenzívna trvalková zmes</t>
  </si>
  <si>
    <t>32</t>
  </si>
  <si>
    <t>183204112.0.BTJ</t>
  </si>
  <si>
    <t>Výsadba byliniek a  jahôd</t>
  </si>
  <si>
    <t>183403113</t>
  </si>
  <si>
    <t>Obrobenie pôdy frézovaním v rovine alebo na svahu do 1:5</t>
  </si>
  <si>
    <t>34</t>
  </si>
  <si>
    <t>183403114</t>
  </si>
  <si>
    <t>Obrobenie pôdy kultivátorovaním v rovine alebo na svahu do 1:5 - Rekultivácia pôdy</t>
  </si>
  <si>
    <t>36</t>
  </si>
  <si>
    <t>1839011145</t>
  </si>
  <si>
    <t>Vyplnenie veľkoobjemových kvetináčov štrkom a kompostovým substrátom</t>
  </si>
  <si>
    <t>38</t>
  </si>
  <si>
    <t>5833100038005</t>
  </si>
  <si>
    <t>Štrk frakcie 16/32 na drenáž do kvetináčov</t>
  </si>
  <si>
    <t>40</t>
  </si>
  <si>
    <t>184102112.S</t>
  </si>
  <si>
    <t>Výsadba dreviny s balom v rovine alebo na svahu do 1:5, priemer balu nad 200 do 300 mm</t>
  </si>
  <si>
    <t>2073466383</t>
  </si>
  <si>
    <t>184102116.S</t>
  </si>
  <si>
    <t>Výsadba dreviny s balom v rovine alebo na svahu do 1:5, priemer balu nad 600 do 800 mm</t>
  </si>
  <si>
    <t>-2096330969</t>
  </si>
  <si>
    <t>184102185.S</t>
  </si>
  <si>
    <t>Príplatok k cene za výsadbu do nádob alebo zvýšených záhonov pri priemere balu nad 500 do 600 mm</t>
  </si>
  <si>
    <t>897789858</t>
  </si>
  <si>
    <t>184202112</t>
  </si>
  <si>
    <t>Zakotvenie dreviny troma a viac kolmi s ochranou proti poškodeniu kmeňa v mieste vzoprenia pri priemere kolov do 100 mm pri dĺžke kolov nad 2 do 3 m</t>
  </si>
  <si>
    <t>52</t>
  </si>
  <si>
    <t>05212050000</t>
  </si>
  <si>
    <t>Oporné koly drevené o dĺžke min. 2,5m</t>
  </si>
  <si>
    <t>54</t>
  </si>
  <si>
    <t>05212050001</t>
  </si>
  <si>
    <t>Uväzovací špagát</t>
  </si>
  <si>
    <t>56</t>
  </si>
  <si>
    <t>184801121.0</t>
  </si>
  <si>
    <t>Ošetrenie drevín odborným rezom</t>
  </si>
  <si>
    <t>677700268</t>
  </si>
  <si>
    <t>184921116</t>
  </si>
  <si>
    <t>Položenie mulčovacej kôry v rovine alebo na svahu do 1:5</t>
  </si>
  <si>
    <t>58</t>
  </si>
  <si>
    <t>0554100001001</t>
  </si>
  <si>
    <t>Mulčovacia kôra</t>
  </si>
  <si>
    <t>60</t>
  </si>
  <si>
    <t>185803111</t>
  </si>
  <si>
    <t>Ošetrenie trávnika bez ohľadu na spôsob založenia - pokosenie so zhrabaním a odvozom zhrabkov do 20 km a zložením na svahu do 1:2</t>
  </si>
  <si>
    <t>62</t>
  </si>
  <si>
    <t>185803111r</t>
  </si>
  <si>
    <t>ošetrenie drevín fungicídnym prípravkom</t>
  </si>
  <si>
    <t>1519291407</t>
  </si>
  <si>
    <t>185804311.S</t>
  </si>
  <si>
    <t>Zaliatie rastlín vodou, plochy jednotlivo do 20 m2</t>
  </si>
  <si>
    <t>1831105441</t>
  </si>
  <si>
    <t>185804312.S</t>
  </si>
  <si>
    <t>Zaliatie rastlín vodou, plochy jednotlivo nad 20 m2</t>
  </si>
  <si>
    <t>-1094774398</t>
  </si>
  <si>
    <t>185804319.S</t>
  </si>
  <si>
    <t>Príplatok k cene za zálievku nádob alebo zvýšených záhonov do 100 m2 jednotlivo</t>
  </si>
  <si>
    <t>808831922</t>
  </si>
  <si>
    <t>0821100002005</t>
  </si>
  <si>
    <t>Voda pre zálievku rastlín na vzdialenosť do 6000 m, vrátane dovozu</t>
  </si>
  <si>
    <t>70</t>
  </si>
  <si>
    <t>3</t>
  </si>
  <si>
    <t>Zvislé a kompletné konštrukcie</t>
  </si>
  <si>
    <t>3113117110</t>
  </si>
  <si>
    <t xml:space="preserve">Vyspravenie jestvujúceho múriku : 300x200mm, obetónovanie pohladovým betónom - C30/37 - vybrovaným, vrátane debnenia a vystuženia betonu s previazaním s jestvujúcim murikom, </t>
  </si>
  <si>
    <t>m</t>
  </si>
  <si>
    <t>-2091518639</t>
  </si>
  <si>
    <t>D3</t>
  </si>
  <si>
    <t>Ostatný materiál</t>
  </si>
  <si>
    <t>1031100001003</t>
  </si>
  <si>
    <t>Vrchovisková rašelina 250L bal.</t>
  </si>
  <si>
    <t>bal.</t>
  </si>
  <si>
    <t>74</t>
  </si>
  <si>
    <t>1031100001004</t>
  </si>
  <si>
    <t xml:space="preserve">Prezretý konský hnoj – granulovaný </t>
  </si>
  <si>
    <t>76</t>
  </si>
  <si>
    <t>1031100001005</t>
  </si>
  <si>
    <t>Kompostový substrát</t>
  </si>
  <si>
    <t>78</t>
  </si>
  <si>
    <t>D2</t>
  </si>
  <si>
    <t>Rastlinný materiál – dreviny</t>
  </si>
  <si>
    <t>026560001000</t>
  </si>
  <si>
    <t>QP - Quercus petraea - dub zimný (25/30)</t>
  </si>
  <si>
    <t>80</t>
  </si>
  <si>
    <t>026560001001</t>
  </si>
  <si>
    <t>QR – Quercus robur - dub letný (25/30)</t>
  </si>
  <si>
    <t>82</t>
  </si>
  <si>
    <t>026560001002</t>
  </si>
  <si>
    <t>QC - Quercus cerris - dub cérový (25/30)</t>
  </si>
  <si>
    <t>84</t>
  </si>
  <si>
    <t>026560001003</t>
  </si>
  <si>
    <t>GB - Ginkgo biloba 'Autumn Gold' - ginko dvojlaločné (20/25)</t>
  </si>
  <si>
    <t>86</t>
  </si>
  <si>
    <t>026560001004</t>
  </si>
  <si>
    <t>LT - Liriodendron tulipifera - ľaliovník tulipánokvetý (20/25)</t>
  </si>
  <si>
    <t>88</t>
  </si>
  <si>
    <t>026560001005</t>
  </si>
  <si>
    <t>AP - Acer platanoides - javor mliečny (25/30)</t>
  </si>
  <si>
    <t>90</t>
  </si>
  <si>
    <t>026560001006</t>
  </si>
  <si>
    <t>MG - Magnolia grandiflora - magnólia veľkokvetá (20/25)</t>
  </si>
  <si>
    <t>92</t>
  </si>
  <si>
    <t>026560001007</t>
  </si>
  <si>
    <t>SJ - Sophora japonica - sofora japonská (20/25)</t>
  </si>
  <si>
    <t>94</t>
  </si>
  <si>
    <t>026560001008</t>
  </si>
  <si>
    <t>EH - Evodia hupehensis - evódia hupehenská (20/25)</t>
  </si>
  <si>
    <t>026560001009</t>
  </si>
  <si>
    <t>PT - Paulownia tomentosa - paulovnia plstnatá (20/25)</t>
  </si>
  <si>
    <t>026560001010</t>
  </si>
  <si>
    <t>PS - Pinus sylvestris - borovica lesná (30/35)</t>
  </si>
  <si>
    <t>026560001011</t>
  </si>
  <si>
    <t>PA - Platanus x acerifolia - platan javorovolistý (25/30)</t>
  </si>
  <si>
    <t>026560001012</t>
  </si>
  <si>
    <t>CS - Castanea sativa 'Volou' - gaštan jedlý (18/20)</t>
  </si>
  <si>
    <t>026560001013</t>
  </si>
  <si>
    <t>AL - Amelanchier lamarckii - muchovník Lamarckov (4ks)</t>
  </si>
  <si>
    <t>026560001014</t>
  </si>
  <si>
    <t>AA - Amelanchier alnifolia - muchovník jelšolistý (zmes odrôd) (5ks)</t>
  </si>
  <si>
    <t>026560001015</t>
  </si>
  <si>
    <t>AM - Aronia melanocarpa - arónia čiernoplodá (odrody 'Viking' a 'Nero') (3ks)</t>
  </si>
  <si>
    <t>026560001016</t>
  </si>
  <si>
    <t>RN - Ribes nidigrolaria ´Josta´- ríbezloegreš (1ks)</t>
  </si>
  <si>
    <t>026560001017</t>
  </si>
  <si>
    <t>CD - Cotoneaster dammerii - skalník Dammerov (728ks)</t>
  </si>
  <si>
    <t>Rastlinný materiál – trvalky</t>
  </si>
  <si>
    <t>ks/m2</t>
  </si>
  <si>
    <t>spolu m2</t>
  </si>
  <si>
    <t>026630001705</t>
  </si>
  <si>
    <t>Stipa tenuissima</t>
  </si>
  <si>
    <t>106</t>
  </si>
  <si>
    <t>026630001706</t>
  </si>
  <si>
    <t>Luzula nivea</t>
  </si>
  <si>
    <t>108</t>
  </si>
  <si>
    <t>026630001708</t>
  </si>
  <si>
    <t>Prunella grandiflora 'Bella Blue'</t>
  </si>
  <si>
    <t>110</t>
  </si>
  <si>
    <t>026630001709</t>
  </si>
  <si>
    <t>Prunella grandiflora 'Alba'</t>
  </si>
  <si>
    <t>112</t>
  </si>
  <si>
    <t>026630001710</t>
  </si>
  <si>
    <t>Melissa officinalis</t>
  </si>
  <si>
    <t>114</t>
  </si>
  <si>
    <t>026630001711</t>
  </si>
  <si>
    <t>Sedum 'Popstar'</t>
  </si>
  <si>
    <t>116</t>
  </si>
  <si>
    <t>026630001712</t>
  </si>
  <si>
    <t>Brunnera macrophylla 'Sea Herat'</t>
  </si>
  <si>
    <t>118</t>
  </si>
  <si>
    <t>026630001713</t>
  </si>
  <si>
    <t>Tulipa tarda</t>
  </si>
  <si>
    <t>120</t>
  </si>
  <si>
    <t>5</t>
  </si>
  <si>
    <t>Komunikácie</t>
  </si>
  <si>
    <t>564201111.S</t>
  </si>
  <si>
    <t>Podklad alebo podsyp zo štrkopiesku fr. 0-16 s rozprestretím, vlhčením a zhutnením, po zhutnení hr. 40 mm</t>
  </si>
  <si>
    <t>1207258982</t>
  </si>
  <si>
    <t>5642101130</t>
  </si>
  <si>
    <t>Kryt pre mlátový chodník  fr. 0-5 mm s rozprestretím, vlhčením a zhutnením do hr. 40 mm, plochy nad 1000 m2 - žltá farba</t>
  </si>
  <si>
    <t>-561481055</t>
  </si>
  <si>
    <t>Rúrové vedenie</t>
  </si>
  <si>
    <t>871218113</t>
  </si>
  <si>
    <t>Ukladanie drenážneho potrubia do pripravenej ryhy z flexibilného PVC priemeru do 65 mm</t>
  </si>
  <si>
    <t>190</t>
  </si>
  <si>
    <t>286120014200</t>
  </si>
  <si>
    <t>Rúra PVC flexodrenážna DN 65</t>
  </si>
  <si>
    <t>192</t>
  </si>
  <si>
    <t>9</t>
  </si>
  <si>
    <t>Ostatné konštrukcie a práce-búranie</t>
  </si>
  <si>
    <t>916561112.S</t>
  </si>
  <si>
    <t>Osadenie záhonového alebo parkového obrubníka betón., do lôžka z bet. pros. tr. C 16/20 s bočnou oporou</t>
  </si>
  <si>
    <t>1687755509</t>
  </si>
  <si>
    <t>592170001800.S</t>
  </si>
  <si>
    <t>Obrubník parkový, lxšxv 1000x50x200 mm, prírodný</t>
  </si>
  <si>
    <t>229890557</t>
  </si>
  <si>
    <t>918101112.S</t>
  </si>
  <si>
    <t>Lôžko pod obrubníky, krajníky alebo obruby z dlažobných kociek z betónu prostého tr. C 16/20</t>
  </si>
  <si>
    <t>1870841451</t>
  </si>
  <si>
    <t>936104102</t>
  </si>
  <si>
    <t>Montáž prvkov drobnej architektúry, hmotnosti nad 0,1 do 1,5 t</t>
  </si>
  <si>
    <t>194</t>
  </si>
  <si>
    <t>9361042125</t>
  </si>
  <si>
    <t>M+D Kotvenie kvetináčov do hlbky 1,5m zemnými skrutkami (3ks na kvetináč)</t>
  </si>
  <si>
    <t>196</t>
  </si>
  <si>
    <t>595120007888</t>
  </si>
  <si>
    <t>Veľkoobejmový betónový kvetináč (200cm x sirka 200 cm x sirka spodok 100 cm)</t>
  </si>
  <si>
    <t>198</t>
  </si>
  <si>
    <t>979082213.S</t>
  </si>
  <si>
    <t>Vodorovná doprava sutiny so zložením a hrubým urovnaním na vzdialenosť do 1 km</t>
  </si>
  <si>
    <t>232405182</t>
  </si>
  <si>
    <t>979082219.1</t>
  </si>
  <si>
    <t>Príplatok k cene za každý ďalší aj začatý 1 km nad 1 km</t>
  </si>
  <si>
    <t>340924744</t>
  </si>
  <si>
    <t>966001121.2</t>
  </si>
  <si>
    <t>Demontáž jestvujúcich hracích prvkov (aj prašiakov) so základmi vrátane odvozu a likvidácie (tobogan: 2x, preliezka: 5x, hojdacka: 2x, susiak:14x, prasiak:9x</t>
  </si>
  <si>
    <t>979087212</t>
  </si>
  <si>
    <t>Nakladanie na dopravné prostriedky pre vodorovnú dopravu sutiny</t>
  </si>
  <si>
    <t>253150431</t>
  </si>
  <si>
    <t>979089012r1</t>
  </si>
  <si>
    <t>Poplatok za skladovanie - betón</t>
  </si>
  <si>
    <t>-1276050126</t>
  </si>
  <si>
    <t>979089212</t>
  </si>
  <si>
    <t>Poplatok za skladovanie - bitúmenové zmesi, uholný decht, dechtové výrobky (17 03 ), ostatné</t>
  </si>
  <si>
    <t>-1861773389</t>
  </si>
  <si>
    <t>99</t>
  </si>
  <si>
    <t>Presun hmôt HSV</t>
  </si>
  <si>
    <t>998231311</t>
  </si>
  <si>
    <t>Presun hmôt pre sadovnícke a krajinárske úpravy do 5000 m vodorovne bez zvislého presunu</t>
  </si>
  <si>
    <t>202</t>
  </si>
  <si>
    <t>PSV</t>
  </si>
  <si>
    <t>Práce a dodávky PSV</t>
  </si>
  <si>
    <t>767</t>
  </si>
  <si>
    <t>Konštrukcie doplnkové kovové</t>
  </si>
  <si>
    <t>76799520000</t>
  </si>
  <si>
    <t>M+D Parková lavička s operadlom a podrúčkami, oceľová konštrukcia, drevený sedák, 1800x646x773mm, (ref. Streepark Inoa LIN9), vrátane zemných prác a zakladania</t>
  </si>
  <si>
    <t>16</t>
  </si>
  <si>
    <t>-1003021891</t>
  </si>
  <si>
    <t>76799520001</t>
  </si>
  <si>
    <t>M+D Okrúhla parková lavička, oceľová konštrukcia, drevený sedák, segment 90°  (Streepark Inoa LINR), vrátane zemných prác a zakladania</t>
  </si>
  <si>
    <t>2063973755</t>
  </si>
  <si>
    <t>76799520002</t>
  </si>
  <si>
    <t>M+D Separačný odpadkový kôš, oceľový z pozinkovaného plechu s povrchovou úpravou, dvojvložkový, 900x500x1020mm, vrátane zemných prác a zakladania</t>
  </si>
  <si>
    <t>-1891518991</t>
  </si>
  <si>
    <t>76799520003</t>
  </si>
  <si>
    <t>M+D Pitná fontánka</t>
  </si>
  <si>
    <t>2069216797</t>
  </si>
  <si>
    <t>76799520004</t>
  </si>
  <si>
    <t>M+D Stojan na bicykle, oceľový, špirálovitý tvar ref. Thieme 2x0,75m  vrátane zemných prác a zakladania</t>
  </si>
  <si>
    <t>-1416578159</t>
  </si>
  <si>
    <t>998767201.S</t>
  </si>
  <si>
    <t>Presun hmôt pre kovové stavebné doplnkové konštrukcie v objektoch výšky do 6 m</t>
  </si>
  <si>
    <t>%</t>
  </si>
  <si>
    <t>Konštrukcie tesárske</t>
  </si>
  <si>
    <t>M+D Vyvýšený záhon 3000x1000x500mm, prefabr. drevené kvetináče a agátového dreva, vrátane impregnovania, zemných prác,a výplne kaučukovou fóliou a ochrannou geotextíliou min. 200g/m2</t>
  </si>
  <si>
    <t>762524104.S</t>
  </si>
  <si>
    <t>Položenie podláh hobľovaných na pero a drážku z dosiek a fošien</t>
  </si>
  <si>
    <t>Drevená podlaha, hrúbka 24 mm, agát, vrátane povrchovej úpravy</t>
  </si>
  <si>
    <t>762526110.S</t>
  </si>
  <si>
    <t>Položenie vankúšov pod podlahy osovej vzdialenosti do 650 mm</t>
  </si>
  <si>
    <t>605120000500r.S</t>
  </si>
  <si>
    <t>Hranoly z agátu</t>
  </si>
  <si>
    <t>762595000.S</t>
  </si>
  <si>
    <t>Spojovacie a ochranné prostriedky - klince, skrutky</t>
  </si>
  <si>
    <t>pol</t>
  </si>
  <si>
    <t>998762202.S</t>
  </si>
  <si>
    <t>Presun hmôt pre konštrukcie tesárske v objektoch výšky do 12 m</t>
  </si>
  <si>
    <t>M+D Vermikompostér  650l</t>
  </si>
  <si>
    <t>OST</t>
  </si>
  <si>
    <t>Ostatné</t>
  </si>
  <si>
    <t>0003000115</t>
  </si>
  <si>
    <t>Geodetické práce - vytýčenie sadových úprav geodetom</t>
  </si>
  <si>
    <t>eur</t>
  </si>
  <si>
    <t>262144</t>
  </si>
  <si>
    <t>204</t>
  </si>
  <si>
    <t>HP</t>
  </si>
  <si>
    <t xml:space="preserve"> Práce a dodávky HSV pre herné a workoutové prvky</t>
  </si>
  <si>
    <t>Zemní a bourací práce</t>
  </si>
  <si>
    <t>121101101</t>
  </si>
  <si>
    <t>Sejmutí ornice s vodorovným přemístěním na hromady v místě upotřebení nebo na dočasné či trvalé skládky se složením, na vzdálenost do 50 m</t>
  </si>
  <si>
    <t>PP</t>
  </si>
  <si>
    <t>Sejmutí ornice s přemístěním na vzdálenost do 50 m</t>
  </si>
  <si>
    <t>132212101</t>
  </si>
  <si>
    <t>Hloubení jám pro základ prvků strojne v soudržných horninách tř. 3</t>
  </si>
  <si>
    <t>Hloubení jám š do 600 mm ručním nebo pneum nářadím v soudržných horninách tř. 3</t>
  </si>
  <si>
    <t>122201102</t>
  </si>
  <si>
    <t>Nakládání výkopku hor. 1-4 do 100 m3</t>
  </si>
  <si>
    <t>122201109</t>
  </si>
  <si>
    <t>Vodorovné přemístění do výkopku/sypaniny z horniny tř. 1 až 4</t>
  </si>
  <si>
    <t>171201231</t>
  </si>
  <si>
    <t>Poplatek za uložení zeminy a kamení na recyklační skládce (skládkovné) kód odpadu 17 05 04</t>
  </si>
  <si>
    <t>Poplatek za uložení stavebního odpadu na recyklační skládce (skládkovné) zeminy a kamení zatříděného do Katalogu odpadů pod kódem 17 05 04</t>
  </si>
  <si>
    <t>171101101.S1</t>
  </si>
  <si>
    <t>Uloženie sypaniny do násypu-pieskovisko</t>
  </si>
  <si>
    <t>581530000300.S</t>
  </si>
  <si>
    <t>Piesok do pieskoviska, vrátane dopravy</t>
  </si>
  <si>
    <t>Práce a dodávky M pre herné a workoutové prvky</t>
  </si>
  <si>
    <t>02</t>
  </si>
  <si>
    <t>Betonové základy pro montáž prvků vč. prípravy</t>
  </si>
  <si>
    <t>Betonové základy pro montáž prvků</t>
  </si>
  <si>
    <t>HP1</t>
  </si>
  <si>
    <t>veľká lanová pyramída s lezeckou stenou, balančnými prvkami, vrátane odbornej montáže</t>
  </si>
  <si>
    <t>TRIPLE BALANCE BEAM BROWN EN1176, vrátane odbornej montáže</t>
  </si>
  <si>
    <t>HP2</t>
  </si>
  <si>
    <t>HP4</t>
  </si>
  <si>
    <t>balančný prvok - chodník odvahy, vrátane odbornej montáže</t>
  </si>
  <si>
    <t>HP5</t>
  </si>
  <si>
    <t>A-FRAME 4-SEAT PINE WOOD 2,5 M, vrátane odbornej montáže</t>
  </si>
  <si>
    <t>SWING MODULE SEAT BN Ø100 H2.5 ROPE, vrátane odbornej montáže</t>
  </si>
  <si>
    <t>SWING MODULE SEAT BN Ø100 H2.5 ROPE RED, vrátane odbornej montáže</t>
  </si>
  <si>
    <t>SWING SEAT YOU &amp; ME H:2.5 EN RED, vrátane odbornej montáže</t>
  </si>
  <si>
    <t>HP6</t>
  </si>
  <si>
    <t>WHEELCHAIR CAROUSEL LIME, vrátane odbornej montáže</t>
  </si>
  <si>
    <t>KOMPAN WHEELCHAIR CAROUSEL LIME, vrátane odbornej montáže</t>
  </si>
  <si>
    <t>HP7</t>
  </si>
  <si>
    <t>CAROUSEL BROWN, vrátane odbornej montáže</t>
  </si>
  <si>
    <t>HP8</t>
  </si>
  <si>
    <t>JUMPER ROUND DIAMETER 110 CM, vrátane odbornej montáže</t>
  </si>
  <si>
    <t>HP9</t>
  </si>
  <si>
    <t>EMERIDO - LIME GREEN (EN1176) INGROUND 90CM, vrátane odbornej montáže</t>
  </si>
  <si>
    <t>HP10</t>
  </si>
  <si>
    <t>BLOQX 3 - GREENLINE IN-GROUND, vrátane odbornej montáže</t>
  </si>
  <si>
    <t>HP11</t>
  </si>
  <si>
    <t>SNAIL SPRINGER M60 CM INGROUND, vrátane odbornej montáže</t>
  </si>
  <si>
    <t>H12</t>
  </si>
  <si>
    <t>SEESAW FOR 4 PERSONS BROWN, vrátane odbornej montáže</t>
  </si>
  <si>
    <t>HP13</t>
  </si>
  <si>
    <t>BEE SPRINGER 60 CM INGROUND, vrátane odbornej montáže</t>
  </si>
  <si>
    <t>BEE SPRINGER 60 CM INGROUND, vrátane odbornej montážeornej montáže</t>
  </si>
  <si>
    <t>WP2</t>
  </si>
  <si>
    <t>COMBI 3 STREETWORKOUT PRO, vrátane odbornej montáže</t>
  </si>
  <si>
    <t>WP3</t>
  </si>
  <si>
    <t>PUSH UP BARS ORANGE, vrátane odbornej montáže</t>
  </si>
  <si>
    <t>58916002104</t>
  </si>
  <si>
    <t>M+D Bezpečný polyuretánový povrch (120mm SBR+10mm EPDM) celofarebný granulát, vrátane potrebného príslušenstva (žltá piesková farba)</t>
  </si>
  <si>
    <t>58916002100</t>
  </si>
  <si>
    <t>M+D Bezpečný polyuretánový povrch (50mm SBR+10mm EPDM) celofarebný granulát, vrátane potrebného príslušenstva (žltá piesková farba)</t>
  </si>
  <si>
    <t>564850004.S</t>
  </si>
  <si>
    <t>Podklad zo štrkodrvy frakcie 0-32mm s rozprestrením a zhutnením, po zhutnení hrúbka 180mm</t>
  </si>
  <si>
    <t>564201111.SR</t>
  </si>
  <si>
    <t>Podklad alebo podsyp zo štrkopieskufr. 0-4mm s rozprestretím, vhčením a zhutnením, po zhutnení hrúbka 30mm</t>
  </si>
  <si>
    <t>998</t>
  </si>
  <si>
    <t>Presun hmôt a ostatné</t>
  </si>
  <si>
    <t>998225111_R</t>
  </si>
  <si>
    <t>Presun hmôt a ostatné réžie</t>
  </si>
  <si>
    <t>súbor</t>
  </si>
  <si>
    <t>Přesun hmot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</si>
</sst>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#,##0.00%"/>
    <numFmt numFmtId="166" formatCode="dd\.mm\.yyyy"/>
    <numFmt numFmtId="167" formatCode="#,##0.00000"/>
    <numFmt numFmtId="168" formatCode="#,##0.000"/>
    <numFmt numFmtId="169" formatCode="#,###.000"/>
    <numFmt numFmtId="170" formatCode="0.000"/>
  </numFmts>
  <fonts count="82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0"/>
      <color indexed="63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b/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b/>
      <sz val="8"/>
      <color indexed="56"/>
      <name val="Arial CE"/>
      <family val="2"/>
    </font>
    <font>
      <sz val="8"/>
      <color indexed="56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i/>
      <sz val="9"/>
      <color indexed="47"/>
      <name val="Arial CE"/>
      <family val="2"/>
    </font>
    <font>
      <sz val="9"/>
      <color indexed="47"/>
      <name val="Arial CE"/>
      <family val="2"/>
    </font>
    <font>
      <sz val="10"/>
      <color indexed="47"/>
      <name val="Arial"/>
      <family val="2"/>
    </font>
    <font>
      <sz val="9"/>
      <color indexed="62"/>
      <name val="Arial CE"/>
      <family val="2"/>
    </font>
    <font>
      <i/>
      <sz val="9"/>
      <color indexed="8"/>
      <name val="Arial CE"/>
      <family val="2"/>
    </font>
    <font>
      <sz val="7"/>
      <color indexed="55"/>
      <name val="Arial CE"/>
      <family val="2"/>
    </font>
    <font>
      <sz val="7"/>
      <name val="Arial CE"/>
      <family val="2"/>
    </font>
    <font>
      <sz val="8"/>
      <color indexed="12"/>
      <name val="Arial CE"/>
      <family val="2"/>
    </font>
    <font>
      <sz val="9"/>
      <color indexed="12"/>
      <name val="Arial CE"/>
      <family val="2"/>
    </font>
    <font>
      <sz val="12"/>
      <color indexed="56"/>
      <name val="Arial CE"/>
      <family val="2"/>
    </font>
    <font>
      <sz val="8"/>
      <name val="Tahom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68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8" applyNumberFormat="0" applyAlignment="0" applyProtection="0"/>
    <xf numFmtId="0" fontId="78" fillId="25" borderId="8" applyNumberFormat="0" applyAlignment="0" applyProtection="0"/>
    <xf numFmtId="0" fontId="79" fillId="25" borderId="9" applyNumberFormat="0" applyAlignment="0" applyProtection="0"/>
    <xf numFmtId="0" fontId="80" fillId="0" borderId="0" applyNumberFormat="0" applyFill="0" applyBorder="0" applyAlignment="0" applyProtection="0"/>
    <xf numFmtId="0" fontId="81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 horizontal="left" vertical="center"/>
      <protection/>
    </xf>
    <xf numFmtId="0" fontId="1" fillId="0" borderId="0" xfId="36" applyFont="1" applyAlignment="1">
      <alignment horizontal="left" vertical="center"/>
      <protection/>
    </xf>
    <xf numFmtId="0" fontId="1" fillId="0" borderId="10" xfId="36" applyBorder="1">
      <alignment/>
      <protection/>
    </xf>
    <xf numFmtId="0" fontId="1" fillId="0" borderId="11" xfId="36" applyBorder="1">
      <alignment/>
      <protection/>
    </xf>
    <xf numFmtId="0" fontId="1" fillId="0" borderId="12" xfId="36" applyBorder="1">
      <alignment/>
      <protection/>
    </xf>
    <xf numFmtId="0" fontId="4" fillId="0" borderId="0" xfId="36" applyFont="1" applyAlignment="1">
      <alignment horizontal="left" vertical="center"/>
      <protection/>
    </xf>
    <xf numFmtId="0" fontId="3" fillId="0" borderId="0" xfId="36" applyFont="1" applyAlignment="1">
      <alignment horizontal="left" vertical="center"/>
      <protection/>
    </xf>
    <xf numFmtId="0" fontId="5" fillId="0" borderId="0" xfId="36" applyFont="1" applyAlignment="1">
      <alignment horizontal="left" vertical="top"/>
      <protection/>
    </xf>
    <xf numFmtId="0" fontId="6" fillId="0" borderId="0" xfId="36" applyFont="1" applyBorder="1" applyAlignment="1">
      <alignment horizontal="left" vertical="center"/>
      <protection/>
    </xf>
    <xf numFmtId="0" fontId="7" fillId="0" borderId="0" xfId="36" applyFont="1" applyAlignment="1">
      <alignment horizontal="left" vertical="top"/>
      <protection/>
    </xf>
    <xf numFmtId="0" fontId="5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left" vertical="center"/>
      <protection/>
    </xf>
    <xf numFmtId="164" fontId="6" fillId="0" borderId="0" xfId="36" applyNumberFormat="1" applyFont="1" applyAlignment="1">
      <alignment horizontal="left" vertical="center"/>
      <protection/>
    </xf>
    <xf numFmtId="0" fontId="6" fillId="0" borderId="0" xfId="37" applyFont="1" applyAlignment="1">
      <alignment horizontal="left" vertical="center"/>
      <protection/>
    </xf>
    <xf numFmtId="0" fontId="6" fillId="33" borderId="0" xfId="36" applyFont="1" applyFill="1" applyAlignment="1">
      <alignment horizontal="left" vertical="center"/>
      <protection/>
    </xf>
    <xf numFmtId="0" fontId="1" fillId="33" borderId="0" xfId="36" applyFill="1">
      <alignment/>
      <protection/>
    </xf>
    <xf numFmtId="1" fontId="0" fillId="0" borderId="0" xfId="36" applyNumberFormat="1" applyFont="1" applyFill="1" applyAlignment="1">
      <alignment horizontal="left"/>
      <protection/>
    </xf>
    <xf numFmtId="4" fontId="0" fillId="0" borderId="0" xfId="36" applyNumberFormat="1" applyFont="1" applyFill="1">
      <alignment/>
      <protection/>
    </xf>
    <xf numFmtId="0" fontId="1" fillId="0" borderId="0" xfId="37">
      <alignment/>
      <protection/>
    </xf>
    <xf numFmtId="0" fontId="1" fillId="0" borderId="13" xfId="36" applyBorder="1">
      <alignment/>
      <protection/>
    </xf>
    <xf numFmtId="0" fontId="8" fillId="0" borderId="0" xfId="36" applyFont="1" applyAlignment="1">
      <alignment horizontal="left" vertical="center"/>
      <protection/>
    </xf>
    <xf numFmtId="0" fontId="1" fillId="0" borderId="0" xfId="36" applyFont="1" applyAlignment="1">
      <alignment vertical="center"/>
      <protection/>
    </xf>
    <xf numFmtId="0" fontId="1" fillId="0" borderId="12" xfId="36" applyFont="1" applyBorder="1" applyAlignment="1">
      <alignment vertical="center"/>
      <protection/>
    </xf>
    <xf numFmtId="0" fontId="1" fillId="0" borderId="0" xfId="36" applyAlignment="1">
      <alignment vertical="center"/>
      <protection/>
    </xf>
    <xf numFmtId="0" fontId="9" fillId="0" borderId="14" xfId="36" applyFont="1" applyBorder="1" applyAlignment="1">
      <alignment horizontal="left" vertical="center"/>
      <protection/>
    </xf>
    <xf numFmtId="0" fontId="1" fillId="0" borderId="14" xfId="36" applyFont="1" applyBorder="1" applyAlignment="1">
      <alignment vertical="center"/>
      <protection/>
    </xf>
    <xf numFmtId="0" fontId="5" fillId="0" borderId="0" xfId="36" applyFont="1" applyAlignment="1">
      <alignment vertical="center"/>
      <protection/>
    </xf>
    <xf numFmtId="0" fontId="5" fillId="0" borderId="12" xfId="36" applyFont="1" applyBorder="1" applyAlignment="1">
      <alignment vertical="center"/>
      <protection/>
    </xf>
    <xf numFmtId="0" fontId="10" fillId="0" borderId="0" xfId="36" applyFont="1" applyAlignment="1">
      <alignment horizontal="left" vertical="center"/>
      <protection/>
    </xf>
    <xf numFmtId="0" fontId="10" fillId="0" borderId="0" xfId="36" applyFont="1" applyAlignment="1">
      <alignment vertical="center"/>
      <protection/>
    </xf>
    <xf numFmtId="0" fontId="10" fillId="0" borderId="12" xfId="36" applyFont="1" applyBorder="1" applyAlignment="1">
      <alignment vertical="center"/>
      <protection/>
    </xf>
    <xf numFmtId="0" fontId="1" fillId="34" borderId="0" xfId="36" applyFont="1" applyFill="1" applyAlignment="1">
      <alignment vertical="center"/>
      <protection/>
    </xf>
    <xf numFmtId="0" fontId="13" fillId="34" borderId="15" xfId="36" applyFont="1" applyFill="1" applyBorder="1" applyAlignment="1">
      <alignment horizontal="left" vertical="center"/>
      <protection/>
    </xf>
    <xf numFmtId="0" fontId="1" fillId="34" borderId="16" xfId="36" applyFont="1" applyFill="1" applyBorder="1" applyAlignment="1">
      <alignment vertical="center"/>
      <protection/>
    </xf>
    <xf numFmtId="0" fontId="13" fillId="34" borderId="16" xfId="36" applyFont="1" applyFill="1" applyBorder="1" applyAlignment="1">
      <alignment horizontal="center" vertical="center"/>
      <protection/>
    </xf>
    <xf numFmtId="0" fontId="1" fillId="0" borderId="12" xfId="36" applyBorder="1" applyAlignment="1">
      <alignment vertical="center"/>
      <protection/>
    </xf>
    <xf numFmtId="0" fontId="14" fillId="0" borderId="13" xfId="36" applyFont="1" applyBorder="1" applyAlignment="1">
      <alignment horizontal="left" vertical="center"/>
      <protection/>
    </xf>
    <xf numFmtId="0" fontId="1" fillId="0" borderId="13" xfId="36" applyBorder="1" applyAlignment="1">
      <alignment vertical="center"/>
      <protection/>
    </xf>
    <xf numFmtId="0" fontId="5" fillId="0" borderId="14" xfId="36" applyFont="1" applyBorder="1" applyAlignment="1">
      <alignment horizontal="left" vertical="center"/>
      <protection/>
    </xf>
    <xf numFmtId="0" fontId="1" fillId="0" borderId="13" xfId="36" applyFont="1" applyBorder="1" applyAlignment="1">
      <alignment vertical="center"/>
      <protection/>
    </xf>
    <xf numFmtId="0" fontId="1" fillId="0" borderId="17" xfId="36" applyFont="1" applyBorder="1" applyAlignment="1">
      <alignment vertical="center"/>
      <protection/>
    </xf>
    <xf numFmtId="0" fontId="1" fillId="0" borderId="18" xfId="36" applyFont="1" applyBorder="1" applyAlignment="1">
      <alignment vertical="center"/>
      <protection/>
    </xf>
    <xf numFmtId="0" fontId="1" fillId="0" borderId="10" xfId="36" applyFont="1" applyBorder="1" applyAlignment="1">
      <alignment vertical="center"/>
      <protection/>
    </xf>
    <xf numFmtId="0" fontId="1" fillId="0" borderId="11" xfId="36" applyFont="1" applyBorder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6" fillId="0" borderId="12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7" fillId="0" borderId="12" xfId="36" applyFont="1" applyBorder="1" applyAlignment="1">
      <alignment vertical="center"/>
      <protection/>
    </xf>
    <xf numFmtId="0" fontId="7" fillId="0" borderId="0" xfId="36" applyFont="1" applyAlignment="1">
      <alignment horizontal="left" vertical="center"/>
      <protection/>
    </xf>
    <xf numFmtId="0" fontId="9" fillId="0" borderId="0" xfId="36" applyFont="1" applyAlignment="1">
      <alignment vertical="center"/>
      <protection/>
    </xf>
    <xf numFmtId="0" fontId="1" fillId="0" borderId="19" xfId="36" applyBorder="1" applyAlignment="1">
      <alignment vertical="center"/>
      <protection/>
    </xf>
    <xf numFmtId="0" fontId="1" fillId="0" borderId="20" xfId="36" applyBorder="1" applyAlignment="1">
      <alignment vertical="center"/>
      <protection/>
    </xf>
    <xf numFmtId="0" fontId="1" fillId="33" borderId="0" xfId="36" applyFont="1" applyFill="1" applyAlignment="1">
      <alignment vertical="center"/>
      <protection/>
    </xf>
    <xf numFmtId="0" fontId="1" fillId="0" borderId="0" xfId="36" applyFont="1" applyBorder="1" applyAlignment="1">
      <alignment vertical="center"/>
      <protection/>
    </xf>
    <xf numFmtId="0" fontId="1" fillId="0" borderId="21" xfId="36" applyFont="1" applyBorder="1" applyAlignment="1">
      <alignment vertical="center"/>
      <protection/>
    </xf>
    <xf numFmtId="0" fontId="1" fillId="35" borderId="16" xfId="36" applyFont="1" applyFill="1" applyBorder="1" applyAlignment="1">
      <alignment vertical="center"/>
      <protection/>
    </xf>
    <xf numFmtId="0" fontId="16" fillId="35" borderId="0" xfId="36" applyFont="1" applyFill="1" applyAlignment="1">
      <alignment horizontal="center" vertical="center"/>
      <protection/>
    </xf>
    <xf numFmtId="0" fontId="17" fillId="0" borderId="22" xfId="36" applyFont="1" applyBorder="1" applyAlignment="1">
      <alignment horizontal="center" vertical="center" wrapText="1"/>
      <protection/>
    </xf>
    <xf numFmtId="0" fontId="17" fillId="0" borderId="23" xfId="36" applyFont="1" applyBorder="1" applyAlignment="1">
      <alignment horizontal="center" vertical="center" wrapText="1"/>
      <protection/>
    </xf>
    <xf numFmtId="0" fontId="17" fillId="0" borderId="24" xfId="36" applyFont="1" applyBorder="1" applyAlignment="1">
      <alignment horizontal="center" vertical="center" wrapText="1"/>
      <protection/>
    </xf>
    <xf numFmtId="0" fontId="1" fillId="0" borderId="25" xfId="36" applyFont="1" applyBorder="1" applyAlignment="1">
      <alignment vertical="center"/>
      <protection/>
    </xf>
    <xf numFmtId="0" fontId="1" fillId="0" borderId="19" xfId="36" applyFont="1" applyBorder="1" applyAlignment="1">
      <alignment vertical="center"/>
      <protection/>
    </xf>
    <xf numFmtId="0" fontId="1" fillId="0" borderId="20" xfId="36" applyFont="1" applyBorder="1" applyAlignment="1">
      <alignment vertical="center"/>
      <protection/>
    </xf>
    <xf numFmtId="0" fontId="13" fillId="0" borderId="0" xfId="36" applyFont="1" applyAlignment="1">
      <alignment vertical="center"/>
      <protection/>
    </xf>
    <xf numFmtId="0" fontId="13" fillId="0" borderId="12" xfId="36" applyFont="1" applyBorder="1" applyAlignment="1">
      <alignment vertical="center"/>
      <protection/>
    </xf>
    <xf numFmtId="0" fontId="18" fillId="0" borderId="0" xfId="36" applyFont="1" applyAlignment="1">
      <alignment horizontal="left" vertical="center"/>
      <protection/>
    </xf>
    <xf numFmtId="0" fontId="18" fillId="0" borderId="0" xfId="36" applyFont="1" applyAlignment="1">
      <alignment vertical="center"/>
      <protection/>
    </xf>
    <xf numFmtId="0" fontId="13" fillId="0" borderId="0" xfId="36" applyFont="1" applyAlignment="1">
      <alignment horizontal="center" vertical="center"/>
      <protection/>
    </xf>
    <xf numFmtId="4" fontId="15" fillId="0" borderId="26" xfId="36" applyNumberFormat="1" applyFont="1" applyBorder="1" applyAlignment="1">
      <alignment vertical="center"/>
      <protection/>
    </xf>
    <xf numFmtId="4" fontId="15" fillId="0" borderId="0" xfId="36" applyNumberFormat="1" applyFont="1" applyBorder="1" applyAlignment="1">
      <alignment vertical="center"/>
      <protection/>
    </xf>
    <xf numFmtId="167" fontId="15" fillId="0" borderId="0" xfId="36" applyNumberFormat="1" applyFont="1" applyBorder="1" applyAlignment="1">
      <alignment vertical="center"/>
      <protection/>
    </xf>
    <xf numFmtId="4" fontId="15" fillId="0" borderId="21" xfId="36" applyNumberFormat="1" applyFont="1" applyBorder="1" applyAlignment="1">
      <alignment vertical="center"/>
      <protection/>
    </xf>
    <xf numFmtId="0" fontId="13" fillId="0" borderId="0" xfId="36" applyFont="1" applyAlignment="1">
      <alignment horizontal="left" vertical="center"/>
      <protection/>
    </xf>
    <xf numFmtId="0" fontId="19" fillId="0" borderId="0" xfId="36" applyFont="1" applyAlignment="1">
      <alignment horizontal="left" vertical="center"/>
      <protection/>
    </xf>
    <xf numFmtId="0" fontId="20" fillId="0" borderId="0" xfId="38" applyNumberFormat="1" applyFont="1" applyFill="1" applyBorder="1" applyAlignment="1" applyProtection="1">
      <alignment horizontal="center" vertical="center"/>
      <protection/>
    </xf>
    <xf numFmtId="0" fontId="22" fillId="0" borderId="12" xfId="36" applyFont="1" applyBorder="1" applyAlignment="1">
      <alignment vertical="center"/>
      <protection/>
    </xf>
    <xf numFmtId="0" fontId="23" fillId="0" borderId="0" xfId="36" applyFont="1" applyAlignment="1">
      <alignment vertical="center"/>
      <protection/>
    </xf>
    <xf numFmtId="0" fontId="24" fillId="0" borderId="0" xfId="36" applyFont="1" applyAlignment="1">
      <alignment vertical="center"/>
      <protection/>
    </xf>
    <xf numFmtId="0" fontId="7" fillId="0" borderId="0" xfId="36" applyFont="1" applyAlignment="1">
      <alignment horizontal="center" vertical="center"/>
      <protection/>
    </xf>
    <xf numFmtId="4" fontId="25" fillId="0" borderId="27" xfId="36" applyNumberFormat="1" applyFont="1" applyBorder="1" applyAlignment="1">
      <alignment vertical="center"/>
      <protection/>
    </xf>
    <xf numFmtId="4" fontId="25" fillId="0" borderId="28" xfId="36" applyNumberFormat="1" applyFont="1" applyBorder="1" applyAlignment="1">
      <alignment vertical="center"/>
      <protection/>
    </xf>
    <xf numFmtId="167" fontId="25" fillId="0" borderId="28" xfId="36" applyNumberFormat="1" applyFont="1" applyBorder="1" applyAlignment="1">
      <alignment vertical="center"/>
      <protection/>
    </xf>
    <xf numFmtId="4" fontId="25" fillId="0" borderId="29" xfId="36" applyNumberFormat="1" applyFont="1" applyBorder="1" applyAlignment="1">
      <alignment vertical="center"/>
      <protection/>
    </xf>
    <xf numFmtId="0" fontId="22" fillId="0" borderId="0" xfId="36" applyFont="1" applyAlignment="1">
      <alignment vertical="center"/>
      <protection/>
    </xf>
    <xf numFmtId="0" fontId="22" fillId="0" borderId="0" xfId="36" applyFont="1" applyAlignment="1">
      <alignment horizontal="left" vertical="center"/>
      <protection/>
    </xf>
    <xf numFmtId="0" fontId="1" fillId="0" borderId="30" xfId="36" applyFont="1" applyBorder="1" applyAlignment="1">
      <alignment vertical="center"/>
      <protection/>
    </xf>
    <xf numFmtId="0" fontId="18" fillId="35" borderId="0" xfId="36" applyFont="1" applyFill="1" applyAlignment="1">
      <alignment horizontal="left" vertical="center"/>
      <protection/>
    </xf>
    <xf numFmtId="0" fontId="1" fillId="35" borderId="0" xfId="36" applyFont="1" applyFill="1" applyAlignment="1">
      <alignment vertical="center"/>
      <protection/>
    </xf>
    <xf numFmtId="0" fontId="1" fillId="36" borderId="0" xfId="36" applyFont="1" applyFill="1" applyAlignment="1">
      <alignment vertical="center"/>
      <protection/>
    </xf>
    <xf numFmtId="0" fontId="26" fillId="0" borderId="0" xfId="36" applyFont="1" applyAlignment="1">
      <alignment horizontal="left" vertical="center"/>
      <protection/>
    </xf>
    <xf numFmtId="166" fontId="6" fillId="0" borderId="0" xfId="36" applyNumberFormat="1" applyFont="1" applyAlignment="1">
      <alignment horizontal="left" vertical="center"/>
      <protection/>
    </xf>
    <xf numFmtId="0" fontId="1" fillId="0" borderId="12" xfId="36" applyFont="1" applyBorder="1" applyAlignment="1">
      <alignment vertical="center" wrapText="1"/>
      <protection/>
    </xf>
    <xf numFmtId="0" fontId="1" fillId="0" borderId="0" xfId="36" applyFont="1" applyAlignment="1">
      <alignment vertical="center" wrapText="1"/>
      <protection/>
    </xf>
    <xf numFmtId="0" fontId="1" fillId="0" borderId="12" xfId="36" applyBorder="1" applyAlignment="1">
      <alignment vertical="center" wrapText="1"/>
      <protection/>
    </xf>
    <xf numFmtId="0" fontId="1" fillId="0" borderId="0" xfId="36" applyAlignment="1">
      <alignment vertical="center" wrapText="1"/>
      <protection/>
    </xf>
    <xf numFmtId="4" fontId="6" fillId="0" borderId="0" xfId="36" applyNumberFormat="1" applyFont="1" applyAlignment="1">
      <alignment vertical="center"/>
      <protection/>
    </xf>
    <xf numFmtId="0" fontId="9" fillId="0" borderId="0" xfId="36" applyFont="1" applyAlignment="1">
      <alignment horizontal="left" vertical="center"/>
      <protection/>
    </xf>
    <xf numFmtId="4" fontId="18" fillId="0" borderId="0" xfId="36" applyNumberFormat="1" applyFont="1" applyAlignment="1">
      <alignment vertical="center"/>
      <protection/>
    </xf>
    <xf numFmtId="0" fontId="5" fillId="0" borderId="0" xfId="36" applyFont="1" applyAlignment="1">
      <alignment horizontal="right" vertical="center"/>
      <protection/>
    </xf>
    <xf numFmtId="0" fontId="27" fillId="0" borderId="0" xfId="36" applyFont="1" applyAlignment="1">
      <alignment horizontal="left" vertical="center"/>
      <protection/>
    </xf>
    <xf numFmtId="4" fontId="10" fillId="0" borderId="0" xfId="36" applyNumberFormat="1" applyFont="1" applyAlignment="1">
      <alignment vertical="center"/>
      <protection/>
    </xf>
    <xf numFmtId="0" fontId="2" fillId="0" borderId="0" xfId="36" applyFont="1" applyAlignment="1">
      <alignment vertical="center"/>
      <protection/>
    </xf>
    <xf numFmtId="165" fontId="10" fillId="0" borderId="0" xfId="36" applyNumberFormat="1" applyFont="1" applyAlignment="1">
      <alignment horizontal="right" vertical="center"/>
      <protection/>
    </xf>
    <xf numFmtId="4" fontId="5" fillId="0" borderId="0" xfId="36" applyNumberFormat="1" applyFont="1" applyAlignment="1">
      <alignment vertical="center"/>
      <protection/>
    </xf>
    <xf numFmtId="165" fontId="5" fillId="0" borderId="0" xfId="36" applyNumberFormat="1" applyFont="1" applyAlignment="1">
      <alignment horizontal="right" vertical="center"/>
      <protection/>
    </xf>
    <xf numFmtId="0" fontId="13" fillId="35" borderId="15" xfId="36" applyFont="1" applyFill="1" applyBorder="1" applyAlignment="1">
      <alignment horizontal="left" vertical="center"/>
      <protection/>
    </xf>
    <xf numFmtId="0" fontId="13" fillId="35" borderId="16" xfId="36" applyFont="1" applyFill="1" applyBorder="1" applyAlignment="1">
      <alignment horizontal="right" vertical="center"/>
      <protection/>
    </xf>
    <xf numFmtId="0" fontId="13" fillId="35" borderId="16" xfId="36" applyFont="1" applyFill="1" applyBorder="1" applyAlignment="1">
      <alignment horizontal="center" vertical="center"/>
      <protection/>
    </xf>
    <xf numFmtId="4" fontId="13" fillId="35" borderId="16" xfId="36" applyNumberFormat="1" applyFont="1" applyFill="1" applyBorder="1" applyAlignment="1">
      <alignment vertical="center"/>
      <protection/>
    </xf>
    <xf numFmtId="0" fontId="1" fillId="35" borderId="31" xfId="36" applyFont="1" applyFill="1" applyBorder="1" applyAlignment="1">
      <alignment vertical="center"/>
      <protection/>
    </xf>
    <xf numFmtId="0" fontId="5" fillId="0" borderId="14" xfId="36" applyFont="1" applyBorder="1" applyAlignment="1">
      <alignment horizontal="center" vertical="center"/>
      <protection/>
    </xf>
    <xf numFmtId="0" fontId="5" fillId="0" borderId="14" xfId="36" applyFont="1" applyBorder="1" applyAlignment="1">
      <alignment horizontal="right" vertical="center"/>
      <protection/>
    </xf>
    <xf numFmtId="0" fontId="6" fillId="0" borderId="0" xfId="36" applyFont="1" applyAlignment="1">
      <alignment horizontal="left" vertical="center" wrapText="1"/>
      <protection/>
    </xf>
    <xf numFmtId="0" fontId="16" fillId="35" borderId="0" xfId="36" applyFont="1" applyFill="1" applyAlignment="1">
      <alignment horizontal="left" vertical="center"/>
      <protection/>
    </xf>
    <xf numFmtId="0" fontId="16" fillId="35" borderId="0" xfId="36" applyFont="1" applyFill="1" applyAlignment="1">
      <alignment horizontal="right" vertical="center"/>
      <protection/>
    </xf>
    <xf numFmtId="0" fontId="28" fillId="0" borderId="0" xfId="36" applyFont="1" applyAlignment="1">
      <alignment horizontal="left" vertical="center"/>
      <protection/>
    </xf>
    <xf numFmtId="0" fontId="29" fillId="0" borderId="12" xfId="36" applyFont="1" applyBorder="1" applyAlignment="1">
      <alignment vertical="center"/>
      <protection/>
    </xf>
    <xf numFmtId="0" fontId="29" fillId="0" borderId="0" xfId="36" applyFont="1" applyAlignment="1">
      <alignment vertical="center"/>
      <protection/>
    </xf>
    <xf numFmtId="0" fontId="29" fillId="0" borderId="28" xfId="36" applyFont="1" applyBorder="1" applyAlignment="1">
      <alignment horizontal="left" vertical="center"/>
      <protection/>
    </xf>
    <xf numFmtId="0" fontId="29" fillId="0" borderId="28" xfId="36" applyFont="1" applyBorder="1" applyAlignment="1">
      <alignment vertical="center"/>
      <protection/>
    </xf>
    <xf numFmtId="4" fontId="29" fillId="0" borderId="28" xfId="36" applyNumberFormat="1" applyFont="1" applyBorder="1" applyAlignment="1">
      <alignment vertical="center"/>
      <protection/>
    </xf>
    <xf numFmtId="0" fontId="30" fillId="0" borderId="12" xfId="36" applyFont="1" applyBorder="1" applyAlignment="1">
      <alignment vertical="center"/>
      <protection/>
    </xf>
    <xf numFmtId="0" fontId="30" fillId="0" borderId="0" xfId="36" applyFont="1" applyAlignment="1">
      <alignment vertical="center"/>
      <protection/>
    </xf>
    <xf numFmtId="0" fontId="30" fillId="0" borderId="28" xfId="36" applyFont="1" applyBorder="1" applyAlignment="1">
      <alignment horizontal="left" vertical="center"/>
      <protection/>
    </xf>
    <xf numFmtId="0" fontId="30" fillId="0" borderId="28" xfId="36" applyFont="1" applyBorder="1" applyAlignment="1">
      <alignment vertical="center"/>
      <protection/>
    </xf>
    <xf numFmtId="4" fontId="30" fillId="0" borderId="28" xfId="36" applyNumberFormat="1" applyFont="1" applyBorder="1" applyAlignment="1">
      <alignment vertical="center"/>
      <protection/>
    </xf>
    <xf numFmtId="0" fontId="30" fillId="0" borderId="28" xfId="36" applyFont="1" applyBorder="1" applyAlignment="1">
      <alignment vertical="center"/>
      <protection/>
    </xf>
    <xf numFmtId="4" fontId="28" fillId="0" borderId="0" xfId="36" applyNumberFormat="1" applyFont="1" applyAlignment="1">
      <alignment vertical="center"/>
      <protection/>
    </xf>
    <xf numFmtId="0" fontId="17" fillId="0" borderId="0" xfId="36" applyFont="1" applyAlignment="1">
      <alignment horizontal="center" vertical="center"/>
      <protection/>
    </xf>
    <xf numFmtId="4" fontId="18" fillId="35" borderId="0" xfId="36" applyNumberFormat="1" applyFont="1" applyFill="1" applyAlignment="1">
      <alignment vertical="center"/>
      <protection/>
    </xf>
    <xf numFmtId="0" fontId="1" fillId="0" borderId="12" xfId="36" applyFont="1" applyBorder="1" applyAlignment="1">
      <alignment horizontal="center" vertical="center" wrapText="1"/>
      <protection/>
    </xf>
    <xf numFmtId="0" fontId="16" fillId="35" borderId="22" xfId="36" applyFont="1" applyFill="1" applyBorder="1" applyAlignment="1">
      <alignment horizontal="center" vertical="center" wrapText="1"/>
      <protection/>
    </xf>
    <xf numFmtId="0" fontId="16" fillId="35" borderId="23" xfId="36" applyFont="1" applyFill="1" applyBorder="1" applyAlignment="1">
      <alignment horizontal="center" vertical="center" wrapText="1"/>
      <protection/>
    </xf>
    <xf numFmtId="0" fontId="16" fillId="35" borderId="24" xfId="36" applyFont="1" applyFill="1" applyBorder="1" applyAlignment="1">
      <alignment horizontal="center" vertical="center" wrapText="1"/>
      <protection/>
    </xf>
    <xf numFmtId="0" fontId="16" fillId="35" borderId="0" xfId="36" applyFont="1" applyFill="1" applyAlignment="1">
      <alignment horizontal="center" vertical="center" wrapText="1"/>
      <protection/>
    </xf>
    <xf numFmtId="0" fontId="1" fillId="0" borderId="12" xfId="36" applyBorder="1" applyAlignment="1">
      <alignment horizontal="center" vertical="center" wrapText="1"/>
      <protection/>
    </xf>
    <xf numFmtId="0" fontId="1" fillId="0" borderId="0" xfId="36" applyFont="1" applyAlignment="1">
      <alignment horizontal="center" vertical="center" wrapText="1"/>
      <protection/>
    </xf>
    <xf numFmtId="0" fontId="1" fillId="0" borderId="0" xfId="36" applyAlignment="1">
      <alignment horizontal="center" vertical="center" wrapText="1"/>
      <protection/>
    </xf>
    <xf numFmtId="4" fontId="18" fillId="0" borderId="0" xfId="36" applyNumberFormat="1" applyFont="1" applyAlignment="1">
      <alignment/>
      <protection/>
    </xf>
    <xf numFmtId="167" fontId="31" fillId="0" borderId="19" xfId="36" applyNumberFormat="1" applyFont="1" applyBorder="1" applyAlignment="1">
      <alignment/>
      <protection/>
    </xf>
    <xf numFmtId="167" fontId="31" fillId="0" borderId="20" xfId="36" applyNumberFormat="1" applyFont="1" applyBorder="1" applyAlignment="1">
      <alignment/>
      <protection/>
    </xf>
    <xf numFmtId="4" fontId="32" fillId="0" borderId="0" xfId="36" applyNumberFormat="1" applyFont="1" applyAlignment="1">
      <alignment vertical="center"/>
      <protection/>
    </xf>
    <xf numFmtId="0" fontId="33" fillId="0" borderId="12" xfId="36" applyFont="1" applyBorder="1" applyAlignment="1">
      <alignment/>
      <protection/>
    </xf>
    <xf numFmtId="0" fontId="33" fillId="0" borderId="0" xfId="36" applyFont="1" applyAlignment="1">
      <alignment/>
      <protection/>
    </xf>
    <xf numFmtId="0" fontId="33" fillId="0" borderId="0" xfId="36" applyFont="1" applyAlignment="1">
      <alignment horizontal="left"/>
      <protection/>
    </xf>
    <xf numFmtId="0" fontId="29" fillId="0" borderId="0" xfId="36" applyFont="1" applyAlignment="1">
      <alignment horizontal="left"/>
      <protection/>
    </xf>
    <xf numFmtId="4" fontId="29" fillId="0" borderId="0" xfId="36" applyNumberFormat="1" applyFont="1" applyAlignment="1">
      <alignment/>
      <protection/>
    </xf>
    <xf numFmtId="0" fontId="33" fillId="0" borderId="26" xfId="36" applyFont="1" applyBorder="1" applyAlignment="1">
      <alignment/>
      <protection/>
    </xf>
    <xf numFmtId="0" fontId="33" fillId="0" borderId="0" xfId="36" applyFont="1" applyBorder="1" applyAlignment="1">
      <alignment/>
      <protection/>
    </xf>
    <xf numFmtId="167" fontId="33" fillId="0" borderId="0" xfId="36" applyNumberFormat="1" applyFont="1" applyBorder="1" applyAlignment="1">
      <alignment/>
      <protection/>
    </xf>
    <xf numFmtId="167" fontId="33" fillId="0" borderId="21" xfId="36" applyNumberFormat="1" applyFont="1" applyBorder="1" applyAlignment="1">
      <alignment/>
      <protection/>
    </xf>
    <xf numFmtId="0" fontId="33" fillId="0" borderId="0" xfId="36" applyFont="1" applyAlignment="1">
      <alignment horizontal="center"/>
      <protection/>
    </xf>
    <xf numFmtId="4" fontId="33" fillId="0" borderId="0" xfId="36" applyNumberFormat="1" applyFont="1" applyAlignment="1">
      <alignment vertical="center"/>
      <protection/>
    </xf>
    <xf numFmtId="0" fontId="34" fillId="0" borderId="12" xfId="36" applyFont="1" applyBorder="1" applyAlignment="1">
      <alignment/>
      <protection/>
    </xf>
    <xf numFmtId="0" fontId="34" fillId="0" borderId="0" xfId="36" applyFont="1" applyAlignment="1">
      <alignment/>
      <protection/>
    </xf>
    <xf numFmtId="0" fontId="34" fillId="0" borderId="0" xfId="36" applyFont="1" applyAlignment="1">
      <alignment horizontal="left"/>
      <protection/>
    </xf>
    <xf numFmtId="0" fontId="30" fillId="0" borderId="0" xfId="36" applyFont="1" applyAlignment="1">
      <alignment horizontal="left"/>
      <protection/>
    </xf>
    <xf numFmtId="4" fontId="30" fillId="0" borderId="0" xfId="36" applyNumberFormat="1" applyFont="1" applyAlignment="1">
      <alignment/>
      <protection/>
    </xf>
    <xf numFmtId="0" fontId="34" fillId="0" borderId="26" xfId="36" applyFont="1" applyBorder="1" applyAlignment="1">
      <alignment/>
      <protection/>
    </xf>
    <xf numFmtId="0" fontId="34" fillId="0" borderId="0" xfId="36" applyFont="1" applyBorder="1" applyAlignment="1">
      <alignment/>
      <protection/>
    </xf>
    <xf numFmtId="167" fontId="34" fillId="0" borderId="0" xfId="36" applyNumberFormat="1" applyFont="1" applyBorder="1" applyAlignment="1">
      <alignment/>
      <protection/>
    </xf>
    <xf numFmtId="167" fontId="34" fillId="0" borderId="21" xfId="36" applyNumberFormat="1" applyFont="1" applyBorder="1" applyAlignment="1">
      <alignment/>
      <protection/>
    </xf>
    <xf numFmtId="0" fontId="34" fillId="0" borderId="0" xfId="36" applyFont="1" applyAlignment="1">
      <alignment horizontal="center"/>
      <protection/>
    </xf>
    <xf numFmtId="4" fontId="34" fillId="0" borderId="0" xfId="36" applyNumberFormat="1" applyFont="1" applyAlignment="1">
      <alignment vertical="center"/>
      <protection/>
    </xf>
    <xf numFmtId="0" fontId="1" fillId="0" borderId="12" xfId="36" applyFont="1" applyFill="1" applyBorder="1" applyAlignment="1" applyProtection="1">
      <alignment vertical="center"/>
      <protection locked="0"/>
    </xf>
    <xf numFmtId="0" fontId="16" fillId="0" borderId="32" xfId="36" applyFont="1" applyFill="1" applyBorder="1" applyAlignment="1" applyProtection="1">
      <alignment horizontal="center" vertical="center"/>
      <protection locked="0"/>
    </xf>
    <xf numFmtId="49" fontId="16" fillId="0" borderId="32" xfId="36" applyNumberFormat="1" applyFont="1" applyFill="1" applyBorder="1" applyAlignment="1" applyProtection="1">
      <alignment horizontal="left" vertical="center" wrapText="1"/>
      <protection locked="0"/>
    </xf>
    <xf numFmtId="0" fontId="16" fillId="0" borderId="32" xfId="36" applyFont="1" applyFill="1" applyBorder="1" applyAlignment="1" applyProtection="1">
      <alignment horizontal="left" vertical="center" wrapText="1"/>
      <protection locked="0"/>
    </xf>
    <xf numFmtId="0" fontId="16" fillId="0" borderId="32" xfId="36" applyFont="1" applyFill="1" applyBorder="1" applyAlignment="1" applyProtection="1">
      <alignment horizontal="center" vertical="center" wrapText="1"/>
      <protection locked="0"/>
    </xf>
    <xf numFmtId="168" fontId="16" fillId="0" borderId="32" xfId="36" applyNumberFormat="1" applyFont="1" applyFill="1" applyBorder="1" applyAlignment="1" applyProtection="1">
      <alignment vertical="center"/>
      <protection locked="0"/>
    </xf>
    <xf numFmtId="4" fontId="16" fillId="0" borderId="32" xfId="36" applyNumberFormat="1" applyFont="1" applyFill="1" applyBorder="1" applyAlignment="1" applyProtection="1">
      <alignment vertical="center"/>
      <protection locked="0"/>
    </xf>
    <xf numFmtId="0" fontId="1" fillId="0" borderId="32" xfId="36" applyFont="1" applyFill="1" applyBorder="1" applyAlignment="1" applyProtection="1">
      <alignment vertical="center"/>
      <protection locked="0"/>
    </xf>
    <xf numFmtId="0" fontId="1" fillId="0" borderId="12" xfId="36" applyFont="1" applyFill="1" applyBorder="1" applyAlignment="1">
      <alignment vertical="center"/>
      <protection/>
    </xf>
    <xf numFmtId="0" fontId="17" fillId="0" borderId="26" xfId="36" applyFont="1" applyFill="1" applyBorder="1" applyAlignment="1">
      <alignment horizontal="left" vertical="center"/>
      <protection/>
    </xf>
    <xf numFmtId="0" fontId="17" fillId="0" borderId="0" xfId="36" applyFont="1" applyFill="1" applyBorder="1" applyAlignment="1">
      <alignment horizontal="center" vertical="center"/>
      <protection/>
    </xf>
    <xf numFmtId="167" fontId="17" fillId="0" borderId="0" xfId="36" applyNumberFormat="1" applyFont="1" applyFill="1" applyBorder="1" applyAlignment="1">
      <alignment vertical="center"/>
      <protection/>
    </xf>
    <xf numFmtId="167" fontId="17" fillId="0" borderId="21" xfId="36" applyNumberFormat="1" applyFont="1" applyFill="1" applyBorder="1" applyAlignment="1">
      <alignment vertical="center"/>
      <protection/>
    </xf>
    <xf numFmtId="0" fontId="1" fillId="0" borderId="0" xfId="36" applyFont="1" applyFill="1" applyAlignment="1">
      <alignment vertical="center"/>
      <protection/>
    </xf>
    <xf numFmtId="0" fontId="1" fillId="0" borderId="0" xfId="36" applyFill="1" applyAlignment="1">
      <alignment vertical="center"/>
      <protection/>
    </xf>
    <xf numFmtId="0" fontId="16" fillId="0" borderId="0" xfId="36" applyFont="1" applyFill="1" applyAlignment="1">
      <alignment horizontal="left" vertical="center"/>
      <protection/>
    </xf>
    <xf numFmtId="0" fontId="1" fillId="0" borderId="0" xfId="36" applyFont="1" applyFill="1" applyAlignment="1">
      <alignment horizontal="left" vertical="center"/>
      <protection/>
    </xf>
    <xf numFmtId="4" fontId="1" fillId="0" borderId="0" xfId="36" applyNumberFormat="1" applyFont="1" applyFill="1" applyAlignment="1">
      <alignment vertical="center"/>
      <protection/>
    </xf>
    <xf numFmtId="168" fontId="16" fillId="37" borderId="32" xfId="36" applyNumberFormat="1" applyFont="1" applyFill="1" applyBorder="1" applyAlignment="1" applyProtection="1">
      <alignment vertical="center"/>
      <protection locked="0"/>
    </xf>
    <xf numFmtId="0" fontId="35" fillId="0" borderId="32" xfId="36" applyFont="1" applyFill="1" applyBorder="1" applyAlignment="1" applyProtection="1">
      <alignment horizontal="center" vertical="center"/>
      <protection locked="0"/>
    </xf>
    <xf numFmtId="49" fontId="35" fillId="0" borderId="32" xfId="36" applyNumberFormat="1" applyFont="1" applyFill="1" applyBorder="1" applyAlignment="1" applyProtection="1">
      <alignment horizontal="left" vertical="center" wrapText="1"/>
      <protection locked="0"/>
    </xf>
    <xf numFmtId="0" fontId="35" fillId="0" borderId="32" xfId="36" applyFont="1" applyFill="1" applyBorder="1" applyAlignment="1" applyProtection="1">
      <alignment horizontal="left" vertical="center" wrapText="1"/>
      <protection locked="0"/>
    </xf>
    <xf numFmtId="0" fontId="35" fillId="0" borderId="32" xfId="36" applyFont="1" applyFill="1" applyBorder="1" applyAlignment="1" applyProtection="1">
      <alignment horizontal="center" vertical="center" wrapText="1"/>
      <protection locked="0"/>
    </xf>
    <xf numFmtId="168" fontId="35" fillId="0" borderId="32" xfId="36" applyNumberFormat="1" applyFont="1" applyFill="1" applyBorder="1" applyAlignment="1" applyProtection="1">
      <alignment vertical="center"/>
      <protection locked="0"/>
    </xf>
    <xf numFmtId="4" fontId="35" fillId="0" borderId="32" xfId="36" applyNumberFormat="1" applyFont="1" applyFill="1" applyBorder="1" applyAlignment="1" applyProtection="1">
      <alignment vertical="center"/>
      <protection locked="0"/>
    </xf>
    <xf numFmtId="0" fontId="36" fillId="0" borderId="32" xfId="36" applyFont="1" applyFill="1" applyBorder="1" applyAlignment="1" applyProtection="1">
      <alignment vertical="center"/>
      <protection locked="0"/>
    </xf>
    <xf numFmtId="0" fontId="36" fillId="0" borderId="12" xfId="36" applyFont="1" applyFill="1" applyBorder="1" applyAlignment="1">
      <alignment vertical="center"/>
      <protection/>
    </xf>
    <xf numFmtId="0" fontId="35" fillId="0" borderId="26" xfId="36" applyFont="1" applyFill="1" applyBorder="1" applyAlignment="1">
      <alignment horizontal="left" vertical="center"/>
      <protection/>
    </xf>
    <xf numFmtId="0" fontId="35" fillId="0" borderId="0" xfId="36" applyFont="1" applyFill="1" applyBorder="1" applyAlignment="1">
      <alignment horizontal="center" vertical="center"/>
      <protection/>
    </xf>
    <xf numFmtId="0" fontId="34" fillId="0" borderId="12" xfId="36" applyFont="1" applyFill="1" applyBorder="1" applyAlignment="1">
      <alignment/>
      <protection/>
    </xf>
    <xf numFmtId="0" fontId="34" fillId="0" borderId="0" xfId="36" applyFont="1" applyFill="1" applyAlignment="1">
      <alignment/>
      <protection/>
    </xf>
    <xf numFmtId="0" fontId="34" fillId="0" borderId="0" xfId="36" applyFont="1" applyFill="1" applyAlignment="1">
      <alignment horizontal="left"/>
      <protection/>
    </xf>
    <xf numFmtId="0" fontId="30" fillId="0" borderId="0" xfId="36" applyFont="1" applyFill="1" applyAlignment="1">
      <alignment horizontal="left"/>
      <protection/>
    </xf>
    <xf numFmtId="4" fontId="30" fillId="0" borderId="0" xfId="36" applyNumberFormat="1" applyFont="1" applyFill="1" applyAlignment="1">
      <alignment/>
      <protection/>
    </xf>
    <xf numFmtId="0" fontId="34" fillId="0" borderId="26" xfId="36" applyFont="1" applyFill="1" applyBorder="1" applyAlignment="1">
      <alignment/>
      <protection/>
    </xf>
    <xf numFmtId="0" fontId="34" fillId="0" borderId="0" xfId="36" applyFont="1" applyFill="1" applyBorder="1" applyAlignment="1">
      <alignment/>
      <protection/>
    </xf>
    <xf numFmtId="167" fontId="34" fillId="0" borderId="0" xfId="36" applyNumberFormat="1" applyFont="1" applyFill="1" applyBorder="1" applyAlignment="1">
      <alignment/>
      <protection/>
    </xf>
    <xf numFmtId="167" fontId="34" fillId="0" borderId="21" xfId="36" applyNumberFormat="1" applyFont="1" applyFill="1" applyBorder="1" applyAlignment="1">
      <alignment/>
      <protection/>
    </xf>
    <xf numFmtId="0" fontId="34" fillId="0" borderId="0" xfId="36" applyFont="1" applyFill="1" applyAlignment="1">
      <alignment horizontal="center"/>
      <protection/>
    </xf>
    <xf numFmtId="4" fontId="34" fillId="0" borderId="0" xfId="36" applyNumberFormat="1" applyFont="1" applyFill="1" applyAlignment="1">
      <alignment vertical="center"/>
      <protection/>
    </xf>
    <xf numFmtId="0" fontId="34" fillId="0" borderId="0" xfId="36" applyFont="1" applyFill="1" applyAlignment="1">
      <alignment/>
      <protection/>
    </xf>
    <xf numFmtId="0" fontId="34" fillId="0" borderId="0" xfId="36" applyFont="1" applyFill="1" applyAlignment="1">
      <alignment horizontal="left"/>
      <protection/>
    </xf>
    <xf numFmtId="0" fontId="30" fillId="0" borderId="0" xfId="36" applyFont="1" applyFill="1" applyAlignment="1">
      <alignment horizontal="left"/>
      <protection/>
    </xf>
    <xf numFmtId="4" fontId="30" fillId="0" borderId="0" xfId="36" applyNumberFormat="1" applyFont="1" applyFill="1" applyAlignment="1">
      <alignment/>
      <protection/>
    </xf>
    <xf numFmtId="4" fontId="37" fillId="0" borderId="32" xfId="36" applyNumberFormat="1" applyFont="1" applyFill="1" applyBorder="1" applyAlignment="1" applyProtection="1">
      <alignment horizontal="right" vertical="center"/>
      <protection locked="0"/>
    </xf>
    <xf numFmtId="4" fontId="35" fillId="0" borderId="32" xfId="36" applyNumberFormat="1" applyFont="1" applyFill="1" applyBorder="1" applyAlignment="1" applyProtection="1">
      <alignment vertical="center"/>
      <protection locked="0"/>
    </xf>
    <xf numFmtId="0" fontId="35" fillId="0" borderId="0" xfId="36" applyFont="1" applyFill="1" applyBorder="1" applyAlignment="1">
      <alignment horizontal="center" vertical="center"/>
      <protection/>
    </xf>
    <xf numFmtId="167" fontId="17" fillId="0" borderId="0" xfId="36" applyNumberFormat="1" applyFont="1" applyFill="1" applyBorder="1" applyAlignment="1">
      <alignment vertical="center"/>
      <protection/>
    </xf>
    <xf numFmtId="167" fontId="17" fillId="0" borderId="21" xfId="36" applyNumberFormat="1" applyFont="1" applyFill="1" applyBorder="1" applyAlignment="1">
      <alignment vertical="center"/>
      <protection/>
    </xf>
    <xf numFmtId="0" fontId="16" fillId="0" borderId="0" xfId="36" applyFont="1" applyFill="1" applyAlignment="1">
      <alignment vertical="center"/>
      <protection/>
    </xf>
    <xf numFmtId="0" fontId="38" fillId="0" borderId="33" xfId="36" applyFont="1" applyFill="1" applyBorder="1" applyAlignment="1">
      <alignment horizontal="center" vertical="center"/>
      <protection/>
    </xf>
    <xf numFmtId="0" fontId="35" fillId="0" borderId="32" xfId="36" applyFont="1" applyFill="1" applyBorder="1" applyAlignment="1" applyProtection="1">
      <alignment horizontal="center" vertical="center"/>
      <protection locked="0"/>
    </xf>
    <xf numFmtId="49" fontId="35" fillId="0" borderId="32" xfId="36" applyNumberFormat="1" applyFont="1" applyFill="1" applyBorder="1" applyAlignment="1" applyProtection="1">
      <alignment horizontal="left" vertical="center" wrapText="1"/>
      <protection locked="0"/>
    </xf>
    <xf numFmtId="0" fontId="35" fillId="0" borderId="32" xfId="36" applyFont="1" applyFill="1" applyBorder="1" applyAlignment="1" applyProtection="1">
      <alignment horizontal="left" vertical="center" wrapText="1"/>
      <protection locked="0"/>
    </xf>
    <xf numFmtId="0" fontId="35" fillId="0" borderId="32" xfId="36" applyFont="1" applyFill="1" applyBorder="1" applyAlignment="1" applyProtection="1">
      <alignment horizontal="center" vertical="center" wrapText="1"/>
      <protection locked="0"/>
    </xf>
    <xf numFmtId="2" fontId="35" fillId="0" borderId="32" xfId="36" applyNumberFormat="1" applyFont="1" applyFill="1" applyBorder="1" applyAlignment="1" applyProtection="1">
      <alignment vertical="center"/>
      <protection locked="0"/>
    </xf>
    <xf numFmtId="4" fontId="35" fillId="0" borderId="32" xfId="36" applyNumberFormat="1" applyFont="1" applyFill="1" applyBorder="1" applyAlignment="1" applyProtection="1">
      <alignment vertical="center"/>
      <protection locked="0"/>
    </xf>
    <xf numFmtId="0" fontId="37" fillId="0" borderId="34" xfId="36" applyFont="1" applyFill="1" applyBorder="1" applyAlignment="1">
      <alignment vertical="center"/>
      <protection/>
    </xf>
    <xf numFmtId="0" fontId="35" fillId="0" borderId="26" xfId="36" applyFont="1" applyFill="1" applyBorder="1" applyAlignment="1">
      <alignment horizontal="left" vertical="center"/>
      <protection/>
    </xf>
    <xf numFmtId="0" fontId="39" fillId="0" borderId="33" xfId="0" applyFont="1" applyFill="1" applyBorder="1" applyAlignment="1">
      <alignment horizontal="center" vertical="center"/>
    </xf>
    <xf numFmtId="0" fontId="40" fillId="0" borderId="32" xfId="36" applyFont="1" applyFill="1" applyBorder="1" applyAlignment="1" applyProtection="1">
      <alignment horizontal="center" vertical="center"/>
      <protection locked="0"/>
    </xf>
    <xf numFmtId="0" fontId="41" fillId="0" borderId="32" xfId="36" applyFont="1" applyFill="1" applyBorder="1" applyAlignment="1" applyProtection="1">
      <alignment horizontal="center" vertical="center"/>
      <protection locked="0"/>
    </xf>
    <xf numFmtId="0" fontId="1" fillId="0" borderId="12" xfId="36" applyFont="1" applyBorder="1" applyAlignment="1" applyProtection="1">
      <alignment vertical="center"/>
      <protection locked="0"/>
    </xf>
    <xf numFmtId="0" fontId="16" fillId="0" borderId="32" xfId="36" applyFont="1" applyBorder="1" applyAlignment="1" applyProtection="1">
      <alignment horizontal="center" vertical="center"/>
      <protection locked="0"/>
    </xf>
    <xf numFmtId="49" fontId="16" fillId="0" borderId="32" xfId="36" applyNumberFormat="1" applyFont="1" applyBorder="1" applyAlignment="1" applyProtection="1">
      <alignment horizontal="left" vertical="center" wrapText="1"/>
      <protection locked="0"/>
    </xf>
    <xf numFmtId="0" fontId="16" fillId="0" borderId="32" xfId="36" applyFont="1" applyBorder="1" applyAlignment="1" applyProtection="1">
      <alignment horizontal="left" vertical="center" wrapText="1"/>
      <protection locked="0"/>
    </xf>
    <xf numFmtId="0" fontId="16" fillId="0" borderId="32" xfId="36" applyFont="1" applyBorder="1" applyAlignment="1" applyProtection="1">
      <alignment horizontal="center" vertical="center" wrapText="1"/>
      <protection locked="0"/>
    </xf>
    <xf numFmtId="168" fontId="16" fillId="0" borderId="32" xfId="36" applyNumberFormat="1" applyFont="1" applyBorder="1" applyAlignment="1" applyProtection="1">
      <alignment vertical="center"/>
      <protection locked="0"/>
    </xf>
    <xf numFmtId="4" fontId="16" fillId="0" borderId="32" xfId="36" applyNumberFormat="1" applyFont="1" applyBorder="1" applyAlignment="1" applyProtection="1">
      <alignment vertical="center"/>
      <protection locked="0"/>
    </xf>
    <xf numFmtId="0" fontId="1" fillId="0" borderId="32" xfId="36" applyFont="1" applyBorder="1" applyAlignment="1" applyProtection="1">
      <alignment vertical="center"/>
      <protection locked="0"/>
    </xf>
    <xf numFmtId="0" fontId="17" fillId="0" borderId="26" xfId="36" applyFont="1" applyBorder="1" applyAlignment="1">
      <alignment horizontal="left" vertical="center"/>
      <protection/>
    </xf>
    <xf numFmtId="0" fontId="17" fillId="0" borderId="0" xfId="36" applyFont="1" applyBorder="1" applyAlignment="1">
      <alignment horizontal="center" vertical="center"/>
      <protection/>
    </xf>
    <xf numFmtId="167" fontId="17" fillId="0" borderId="0" xfId="36" applyNumberFormat="1" applyFont="1" applyBorder="1" applyAlignment="1">
      <alignment vertical="center"/>
      <protection/>
    </xf>
    <xf numFmtId="167" fontId="17" fillId="0" borderId="21" xfId="36" applyNumberFormat="1" applyFont="1" applyBorder="1" applyAlignment="1">
      <alignment vertical="center"/>
      <protection/>
    </xf>
    <xf numFmtId="0" fontId="16" fillId="0" borderId="0" xfId="36" applyFont="1" applyAlignment="1">
      <alignment horizontal="left" vertical="center"/>
      <protection/>
    </xf>
    <xf numFmtId="4" fontId="1" fillId="0" borderId="0" xfId="36" applyNumberFormat="1" applyFont="1" applyAlignment="1">
      <alignment vertical="center"/>
      <protection/>
    </xf>
    <xf numFmtId="0" fontId="1" fillId="0" borderId="33" xfId="36" applyFont="1" applyBorder="1" applyAlignment="1">
      <alignment vertical="center" wrapText="1"/>
      <protection/>
    </xf>
    <xf numFmtId="0" fontId="1" fillId="0" borderId="33" xfId="36" applyFont="1" applyBorder="1" applyAlignment="1">
      <alignment horizontal="left" vertical="center" wrapText="1"/>
      <protection/>
    </xf>
    <xf numFmtId="0" fontId="1" fillId="0" borderId="33" xfId="36" applyFont="1" applyBorder="1" applyAlignment="1">
      <alignment horizontal="center" vertical="center" wrapText="1"/>
      <protection/>
    </xf>
    <xf numFmtId="169" fontId="1" fillId="0" borderId="33" xfId="36" applyNumberFormat="1" applyFont="1" applyBorder="1" applyAlignment="1">
      <alignment vertical="center" wrapText="1"/>
      <protection/>
    </xf>
    <xf numFmtId="2" fontId="1" fillId="0" borderId="33" xfId="36" applyNumberFormat="1" applyFont="1" applyBorder="1" applyAlignment="1">
      <alignment vertical="center" wrapText="1"/>
      <protection/>
    </xf>
    <xf numFmtId="0" fontId="16" fillId="0" borderId="0" xfId="36" applyFont="1" applyFill="1" applyBorder="1" applyAlignment="1" applyProtection="1">
      <alignment horizontal="left" vertical="center" wrapText="1"/>
      <protection locked="0"/>
    </xf>
    <xf numFmtId="0" fontId="16" fillId="0" borderId="0" xfId="36" applyFont="1" applyFill="1" applyBorder="1" applyAlignment="1" applyProtection="1">
      <alignment horizontal="center" vertical="center" wrapText="1"/>
      <protection locked="0"/>
    </xf>
    <xf numFmtId="168" fontId="16" fillId="0" borderId="0" xfId="36" applyNumberFormat="1" applyFont="1" applyFill="1" applyBorder="1" applyAlignment="1" applyProtection="1">
      <alignment vertical="center"/>
      <protection locked="0"/>
    </xf>
    <xf numFmtId="4" fontId="16" fillId="0" borderId="0" xfId="36" applyNumberFormat="1" applyFont="1" applyFill="1" applyBorder="1" applyAlignment="1" applyProtection="1">
      <alignment vertical="center"/>
      <protection locked="0"/>
    </xf>
    <xf numFmtId="0" fontId="16" fillId="0" borderId="0" xfId="36" applyFont="1" applyFill="1" applyBorder="1" applyAlignment="1" applyProtection="1">
      <alignment horizontal="center" vertical="center"/>
      <protection locked="0"/>
    </xf>
    <xf numFmtId="49" fontId="16" fillId="0" borderId="0" xfId="3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36" applyFont="1" applyFill="1" applyBorder="1" applyAlignment="1">
      <alignment vertical="center"/>
      <protection/>
    </xf>
    <xf numFmtId="0" fontId="17" fillId="0" borderId="0" xfId="36" applyFont="1" applyFill="1" applyBorder="1" applyAlignment="1">
      <alignment horizontal="left" vertical="center"/>
      <protection/>
    </xf>
    <xf numFmtId="0" fontId="16" fillId="0" borderId="33" xfId="36" applyFont="1" applyBorder="1" applyAlignment="1">
      <alignment vertical="center" wrapText="1"/>
      <protection/>
    </xf>
    <xf numFmtId="0" fontId="16" fillId="0" borderId="33" xfId="36" applyFont="1" applyBorder="1" applyAlignment="1">
      <alignment horizontal="left" vertical="center" wrapText="1"/>
      <protection/>
    </xf>
    <xf numFmtId="0" fontId="16" fillId="0" borderId="33" xfId="36" applyFont="1" applyBorder="1" applyAlignment="1">
      <alignment horizontal="center" vertical="center" wrapText="1"/>
      <protection/>
    </xf>
    <xf numFmtId="170" fontId="16" fillId="0" borderId="33" xfId="36" applyNumberFormat="1" applyFont="1" applyBorder="1" applyAlignment="1">
      <alignment vertical="center" wrapText="1"/>
      <protection/>
    </xf>
    <xf numFmtId="0" fontId="33" fillId="0" borderId="12" xfId="36" applyFont="1" applyFill="1" applyBorder="1" applyAlignment="1">
      <alignment/>
      <protection/>
    </xf>
    <xf numFmtId="0" fontId="33" fillId="0" borderId="0" xfId="36" applyFont="1" applyFill="1" applyAlignment="1">
      <alignment/>
      <protection/>
    </xf>
    <xf numFmtId="0" fontId="33" fillId="0" borderId="0" xfId="36" applyFont="1" applyFill="1" applyAlignment="1">
      <alignment horizontal="left"/>
      <protection/>
    </xf>
    <xf numFmtId="0" fontId="29" fillId="0" borderId="0" xfId="36" applyFont="1" applyFill="1" applyAlignment="1">
      <alignment horizontal="left"/>
      <protection/>
    </xf>
    <xf numFmtId="4" fontId="29" fillId="0" borderId="0" xfId="36" applyNumberFormat="1" applyFont="1" applyFill="1" applyAlignment="1">
      <alignment/>
      <protection/>
    </xf>
    <xf numFmtId="0" fontId="33" fillId="0" borderId="26" xfId="36" applyFont="1" applyFill="1" applyBorder="1" applyAlignment="1">
      <alignment/>
      <protection/>
    </xf>
    <xf numFmtId="0" fontId="33" fillId="0" borderId="0" xfId="36" applyFont="1" applyFill="1" applyBorder="1" applyAlignment="1">
      <alignment/>
      <protection/>
    </xf>
    <xf numFmtId="167" fontId="33" fillId="0" borderId="0" xfId="36" applyNumberFormat="1" applyFont="1" applyFill="1" applyBorder="1" applyAlignment="1">
      <alignment/>
      <protection/>
    </xf>
    <xf numFmtId="167" fontId="33" fillId="0" borderId="21" xfId="36" applyNumberFormat="1" applyFont="1" applyFill="1" applyBorder="1" applyAlignment="1">
      <alignment/>
      <protection/>
    </xf>
    <xf numFmtId="0" fontId="33" fillId="0" borderId="0" xfId="36" applyFont="1" applyFill="1" applyAlignment="1">
      <alignment horizontal="center"/>
      <protection/>
    </xf>
    <xf numFmtId="4" fontId="33" fillId="0" borderId="0" xfId="36" applyNumberFormat="1" applyFont="1" applyFill="1" applyAlignment="1">
      <alignment vertical="center"/>
      <protection/>
    </xf>
    <xf numFmtId="0" fontId="17" fillId="0" borderId="27" xfId="36" applyFont="1" applyFill="1" applyBorder="1" applyAlignment="1">
      <alignment horizontal="left" vertical="center"/>
      <protection/>
    </xf>
    <xf numFmtId="0" fontId="17" fillId="0" borderId="28" xfId="36" applyFont="1" applyFill="1" applyBorder="1" applyAlignment="1">
      <alignment horizontal="center" vertical="center"/>
      <protection/>
    </xf>
    <xf numFmtId="167" fontId="17" fillId="0" borderId="28" xfId="36" applyNumberFormat="1" applyFont="1" applyFill="1" applyBorder="1" applyAlignment="1">
      <alignment vertical="center"/>
      <protection/>
    </xf>
    <xf numFmtId="167" fontId="17" fillId="0" borderId="29" xfId="36" applyNumberFormat="1" applyFont="1" applyFill="1" applyBorder="1" applyAlignment="1">
      <alignment vertical="center"/>
      <protection/>
    </xf>
    <xf numFmtId="0" fontId="32" fillId="0" borderId="0" xfId="36" applyFont="1">
      <alignment/>
      <protection/>
    </xf>
    <xf numFmtId="0" fontId="1" fillId="0" borderId="0" xfId="36" applyFill="1">
      <alignment/>
      <protection/>
    </xf>
    <xf numFmtId="0" fontId="42" fillId="0" borderId="0" xfId="36" applyFont="1" applyFill="1" applyAlignment="1">
      <alignment horizontal="left" vertical="center"/>
      <protection/>
    </xf>
    <xf numFmtId="0" fontId="43" fillId="0" borderId="0" xfId="36" applyFont="1" applyFill="1" applyAlignment="1">
      <alignment horizontal="left" vertical="center" wrapText="1"/>
      <protection/>
    </xf>
    <xf numFmtId="0" fontId="44" fillId="0" borderId="0" xfId="36" applyFont="1" applyFill="1">
      <alignment/>
      <protection/>
    </xf>
    <xf numFmtId="0" fontId="45" fillId="0" borderId="32" xfId="36" applyFont="1" applyFill="1" applyBorder="1" applyAlignment="1" applyProtection="1">
      <alignment horizontal="center" vertical="center"/>
      <protection locked="0"/>
    </xf>
    <xf numFmtId="0" fontId="44" fillId="0" borderId="33" xfId="36" applyFont="1" applyBorder="1" applyAlignment="1">
      <alignment vertical="center" wrapText="1"/>
      <protection/>
    </xf>
    <xf numFmtId="0" fontId="45" fillId="0" borderId="32" xfId="36" applyFont="1" applyFill="1" applyBorder="1" applyAlignment="1" applyProtection="1">
      <alignment horizontal="center" vertical="center" wrapText="1"/>
      <protection locked="0"/>
    </xf>
    <xf numFmtId="168" fontId="45" fillId="0" borderId="32" xfId="36" applyNumberFormat="1" applyFont="1" applyFill="1" applyBorder="1" applyAlignment="1" applyProtection="1">
      <alignment vertical="center"/>
      <protection locked="0"/>
    </xf>
    <xf numFmtId="4" fontId="45" fillId="0" borderId="32" xfId="36" applyNumberFormat="1" applyFont="1" applyFill="1" applyBorder="1" applyAlignment="1" applyProtection="1">
      <alignment vertical="center"/>
      <protection locked="0"/>
    </xf>
    <xf numFmtId="0" fontId="45" fillId="0" borderId="19" xfId="36" applyFont="1" applyFill="1" applyBorder="1" applyAlignment="1" applyProtection="1">
      <alignment horizontal="center" vertical="center"/>
      <protection locked="0"/>
    </xf>
    <xf numFmtId="0" fontId="44" fillId="0" borderId="19" xfId="36" applyFont="1" applyBorder="1" applyAlignment="1">
      <alignment vertical="center" wrapText="1"/>
      <protection/>
    </xf>
    <xf numFmtId="0" fontId="45" fillId="0" borderId="19" xfId="36" applyFont="1" applyFill="1" applyBorder="1" applyAlignment="1" applyProtection="1">
      <alignment horizontal="center" vertical="center" wrapText="1"/>
      <protection locked="0"/>
    </xf>
    <xf numFmtId="168" fontId="45" fillId="0" borderId="19" xfId="36" applyNumberFormat="1" applyFont="1" applyFill="1" applyBorder="1" applyAlignment="1" applyProtection="1">
      <alignment vertical="center"/>
      <protection locked="0"/>
    </xf>
    <xf numFmtId="4" fontId="45" fillId="0" borderId="19" xfId="36" applyNumberFormat="1" applyFont="1" applyFill="1" applyBorder="1" applyAlignment="1" applyProtection="1">
      <alignment vertical="center"/>
      <protection locked="0"/>
    </xf>
    <xf numFmtId="0" fontId="46" fillId="0" borderId="0" xfId="36" applyFont="1" applyFill="1" applyAlignment="1">
      <alignment horizontal="left"/>
      <protection/>
    </xf>
    <xf numFmtId="4" fontId="46" fillId="0" borderId="0" xfId="36" applyNumberFormat="1" applyFont="1" applyFill="1" applyAlignment="1">
      <alignment/>
      <protection/>
    </xf>
    <xf numFmtId="0" fontId="0" fillId="0" borderId="0" xfId="0" applyFill="1" applyAlignment="1">
      <alignment/>
    </xf>
    <xf numFmtId="0" fontId="1" fillId="0" borderId="18" xfId="36" applyFont="1" applyFill="1" applyBorder="1" applyAlignment="1">
      <alignment vertical="center"/>
      <protection/>
    </xf>
    <xf numFmtId="0" fontId="3" fillId="38" borderId="0" xfId="36" applyFont="1" applyFill="1" applyBorder="1" applyAlignment="1">
      <alignment horizontal="center" vertical="center"/>
      <protection/>
    </xf>
    <xf numFmtId="0" fontId="6" fillId="0" borderId="0" xfId="36" applyFont="1" applyBorder="1" applyAlignment="1">
      <alignment horizontal="left" vertical="center"/>
      <protection/>
    </xf>
    <xf numFmtId="0" fontId="7" fillId="0" borderId="0" xfId="36" applyFont="1" applyBorder="1" applyAlignment="1">
      <alignment horizontal="left" vertical="top" wrapText="1"/>
      <protection/>
    </xf>
    <xf numFmtId="0" fontId="6" fillId="0" borderId="0" xfId="36" applyFont="1" applyBorder="1" applyAlignment="1">
      <alignment horizontal="left" vertical="center" wrapText="1"/>
      <protection/>
    </xf>
    <xf numFmtId="4" fontId="6" fillId="0" borderId="0" xfId="36" applyNumberFormat="1" applyFont="1" applyBorder="1" applyAlignment="1">
      <alignment vertical="center"/>
      <protection/>
    </xf>
    <xf numFmtId="4" fontId="9" fillId="0" borderId="14" xfId="36" applyNumberFormat="1" applyFont="1" applyBorder="1" applyAlignment="1">
      <alignment vertical="center"/>
      <protection/>
    </xf>
    <xf numFmtId="0" fontId="5" fillId="0" borderId="0" xfId="36" applyFont="1" applyBorder="1" applyAlignment="1">
      <alignment horizontal="right" vertical="center"/>
      <protection/>
    </xf>
    <xf numFmtId="165" fontId="10" fillId="0" borderId="0" xfId="36" applyNumberFormat="1" applyFont="1" applyBorder="1" applyAlignment="1">
      <alignment horizontal="left" vertical="center"/>
      <protection/>
    </xf>
    <xf numFmtId="4" fontId="11" fillId="0" borderId="0" xfId="36" applyNumberFormat="1" applyFont="1" applyBorder="1" applyAlignment="1">
      <alignment vertical="center"/>
      <protection/>
    </xf>
    <xf numFmtId="165" fontId="5" fillId="0" borderId="0" xfId="36" applyNumberFormat="1" applyFont="1" applyBorder="1" applyAlignment="1">
      <alignment horizontal="left" vertical="center"/>
      <protection/>
    </xf>
    <xf numFmtId="4" fontId="12" fillId="0" borderId="0" xfId="36" applyNumberFormat="1" applyFont="1" applyBorder="1" applyAlignment="1">
      <alignment vertical="center"/>
      <protection/>
    </xf>
    <xf numFmtId="0" fontId="13" fillId="34" borderId="16" xfId="36" applyFont="1" applyFill="1" applyBorder="1" applyAlignment="1">
      <alignment horizontal="left" vertical="center"/>
      <protection/>
    </xf>
    <xf numFmtId="4" fontId="13" fillId="34" borderId="31" xfId="36" applyNumberFormat="1" applyFont="1" applyFill="1" applyBorder="1" applyAlignment="1">
      <alignment vertical="center"/>
      <protection/>
    </xf>
    <xf numFmtId="0" fontId="7" fillId="0" borderId="0" xfId="36" applyFont="1" applyBorder="1" applyAlignment="1">
      <alignment horizontal="left" vertical="center" wrapText="1"/>
      <protection/>
    </xf>
    <xf numFmtId="166" fontId="6" fillId="0" borderId="0" xfId="36" applyNumberFormat="1" applyFont="1" applyBorder="1" applyAlignment="1">
      <alignment horizontal="left" vertical="center"/>
      <protection/>
    </xf>
    <xf numFmtId="0" fontId="6" fillId="0" borderId="0" xfId="36" applyFont="1" applyBorder="1" applyAlignment="1">
      <alignment vertical="center" wrapText="1"/>
      <protection/>
    </xf>
    <xf numFmtId="0" fontId="15" fillId="0" borderId="25" xfId="36" applyFont="1" applyBorder="1" applyAlignment="1">
      <alignment horizontal="center" vertical="center"/>
      <protection/>
    </xf>
    <xf numFmtId="0" fontId="16" fillId="35" borderId="15" xfId="36" applyFont="1" applyFill="1" applyBorder="1" applyAlignment="1">
      <alignment horizontal="center" vertical="center"/>
      <protection/>
    </xf>
    <xf numFmtId="0" fontId="16" fillId="35" borderId="16" xfId="36" applyFont="1" applyFill="1" applyBorder="1" applyAlignment="1">
      <alignment horizontal="center" vertical="center"/>
      <protection/>
    </xf>
    <xf numFmtId="0" fontId="16" fillId="35" borderId="16" xfId="36" applyFont="1" applyFill="1" applyBorder="1" applyAlignment="1">
      <alignment horizontal="right" vertical="center"/>
      <protection/>
    </xf>
    <xf numFmtId="0" fontId="16" fillId="35" borderId="31" xfId="36" applyFont="1" applyFill="1" applyBorder="1" applyAlignment="1">
      <alignment horizontal="center" vertical="center"/>
      <protection/>
    </xf>
    <xf numFmtId="4" fontId="18" fillId="0" borderId="0" xfId="36" applyNumberFormat="1" applyFont="1" applyBorder="1" applyAlignment="1">
      <alignment horizontal="right" vertical="center"/>
      <protection/>
    </xf>
    <xf numFmtId="4" fontId="18" fillId="0" borderId="0" xfId="36" applyNumberFormat="1" applyFont="1" applyBorder="1" applyAlignment="1">
      <alignment vertical="center"/>
      <protection/>
    </xf>
    <xf numFmtId="0" fontId="23" fillId="0" borderId="0" xfId="36" applyFont="1" applyBorder="1" applyAlignment="1">
      <alignment horizontal="left" vertical="center" wrapText="1"/>
      <protection/>
    </xf>
    <xf numFmtId="4" fontId="24" fillId="0" borderId="0" xfId="36" applyNumberFormat="1" applyFont="1" applyBorder="1" applyAlignment="1">
      <alignment vertical="center"/>
      <protection/>
    </xf>
    <xf numFmtId="4" fontId="18" fillId="36" borderId="0" xfId="36" applyNumberFormat="1" applyFont="1" applyFill="1" applyBorder="1" applyAlignment="1">
      <alignment vertical="center"/>
      <protection/>
    </xf>
    <xf numFmtId="0" fontId="5" fillId="0" borderId="0" xfId="36" applyFont="1" applyBorder="1" applyAlignment="1">
      <alignment horizontal="lef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Excel Built-in Normal 1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CC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zoomScale="65" zoomScaleNormal="65" zoomScalePageLayoutView="0" workbookViewId="0" topLeftCell="A93">
      <selection activeCell="AR95" sqref="AR95"/>
    </sheetView>
  </sheetViews>
  <sheetFormatPr defaultColWidth="7.00390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7.00390625" style="1" customWidth="1"/>
    <col min="71" max="91" width="0" style="1" hidden="1" customWidth="1"/>
    <col min="92" max="16384" width="7.00390625" style="1" customWidth="1"/>
  </cols>
  <sheetData>
    <row r="1" spans="1:74" ht="11.25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293" t="s">
        <v>4</v>
      </c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6</v>
      </c>
    </row>
    <row r="4" spans="2:71" ht="24.75" customHeight="1">
      <c r="B4" s="6"/>
      <c r="D4" s="7" t="s">
        <v>7</v>
      </c>
      <c r="AR4" s="6"/>
      <c r="AS4" s="8" t="s">
        <v>8</v>
      </c>
      <c r="BS4" s="3" t="s">
        <v>9</v>
      </c>
    </row>
    <row r="5" spans="2:71" ht="12" customHeight="1">
      <c r="B5" s="6"/>
      <c r="D5" s="9" t="s">
        <v>10</v>
      </c>
      <c r="K5" s="294" t="s">
        <v>11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R5" s="6"/>
      <c r="BS5" s="3" t="s">
        <v>5</v>
      </c>
    </row>
    <row r="6" spans="2:71" ht="36.75" customHeight="1">
      <c r="B6" s="6"/>
      <c r="D6" s="11" t="s">
        <v>12</v>
      </c>
      <c r="K6" s="295" t="s">
        <v>13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R6" s="6"/>
      <c r="BS6" s="3" t="s">
        <v>5</v>
      </c>
    </row>
    <row r="7" spans="2:71" ht="12" customHeight="1">
      <c r="B7" s="6"/>
      <c r="D7" s="12" t="s">
        <v>14</v>
      </c>
      <c r="K7" s="13"/>
      <c r="AK7" s="12" t="s">
        <v>15</v>
      </c>
      <c r="AN7" s="13"/>
      <c r="AR7" s="6"/>
      <c r="BS7" s="3" t="s">
        <v>5</v>
      </c>
    </row>
    <row r="8" spans="2:71" ht="12" customHeight="1">
      <c r="B8" s="6"/>
      <c r="D8" s="12" t="s">
        <v>16</v>
      </c>
      <c r="K8" s="13" t="s">
        <v>17</v>
      </c>
      <c r="AK8" s="12" t="s">
        <v>18</v>
      </c>
      <c r="AN8" s="14">
        <v>44699</v>
      </c>
      <c r="AR8" s="6"/>
      <c r="BS8" s="3" t="s">
        <v>5</v>
      </c>
    </row>
    <row r="9" spans="2:71" ht="14.25" customHeight="1">
      <c r="B9" s="6"/>
      <c r="AR9" s="6"/>
      <c r="BS9" s="3" t="s">
        <v>5</v>
      </c>
    </row>
    <row r="10" spans="2:71" ht="12" customHeight="1">
      <c r="B10" s="6"/>
      <c r="D10" s="12" t="s">
        <v>19</v>
      </c>
      <c r="AK10" s="12" t="s">
        <v>20</v>
      </c>
      <c r="AN10" s="13"/>
      <c r="AR10" s="6"/>
      <c r="BS10" s="3" t="s">
        <v>5</v>
      </c>
    </row>
    <row r="11" spans="2:71" ht="18" customHeight="1">
      <c r="B11" s="6"/>
      <c r="E11" s="15" t="s">
        <v>21</v>
      </c>
      <c r="AK11" s="12" t="s">
        <v>22</v>
      </c>
      <c r="AN11" s="13"/>
      <c r="AR11" s="6"/>
      <c r="BS11" s="3" t="s">
        <v>5</v>
      </c>
    </row>
    <row r="12" spans="2:71" ht="6.75" customHeight="1">
      <c r="B12" s="6"/>
      <c r="AR12" s="6"/>
      <c r="BS12" s="3" t="s">
        <v>5</v>
      </c>
    </row>
    <row r="13" spans="2:71" ht="12" customHeight="1">
      <c r="B13" s="6"/>
      <c r="D13" s="12" t="s">
        <v>23</v>
      </c>
      <c r="AK13" s="12" t="s">
        <v>20</v>
      </c>
      <c r="AN13" s="16" t="s">
        <v>24</v>
      </c>
      <c r="AO13" s="17"/>
      <c r="AR13" s="6"/>
      <c r="BS13" s="3" t="s">
        <v>5</v>
      </c>
    </row>
    <row r="14" spans="2:71" ht="12.75">
      <c r="B14" s="6"/>
      <c r="E14" s="16" t="s">
        <v>24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AK14" s="12" t="s">
        <v>22</v>
      </c>
      <c r="AN14" s="16" t="s">
        <v>24</v>
      </c>
      <c r="AO14" s="17"/>
      <c r="AR14" s="6"/>
      <c r="BS14" s="3" t="s">
        <v>5</v>
      </c>
    </row>
    <row r="15" spans="2:71" ht="6.75" customHeight="1">
      <c r="B15" s="6"/>
      <c r="AR15" s="6"/>
      <c r="BS15" s="3" t="s">
        <v>2</v>
      </c>
    </row>
    <row r="16" spans="2:71" ht="12" customHeight="1">
      <c r="B16" s="6"/>
      <c r="D16" s="12" t="s">
        <v>25</v>
      </c>
      <c r="AK16" s="12" t="s">
        <v>20</v>
      </c>
      <c r="AN16" s="18">
        <v>47213043</v>
      </c>
      <c r="AR16" s="6"/>
      <c r="BS16" s="3" t="s">
        <v>2</v>
      </c>
    </row>
    <row r="17" spans="2:71" ht="18" customHeight="1">
      <c r="B17" s="6"/>
      <c r="E17" s="296" t="s">
        <v>26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K17" s="12" t="s">
        <v>22</v>
      </c>
      <c r="AN17" s="19" t="s">
        <v>27</v>
      </c>
      <c r="AR17" s="6"/>
      <c r="BS17" s="3" t="s">
        <v>28</v>
      </c>
    </row>
    <row r="18" spans="2:71" ht="6.75" customHeight="1">
      <c r="B18" s="6"/>
      <c r="E18" s="20"/>
      <c r="F18" s="20"/>
      <c r="AR18" s="6"/>
      <c r="BS18" s="3" t="s">
        <v>5</v>
      </c>
    </row>
    <row r="19" spans="2:71" ht="12" customHeight="1">
      <c r="B19" s="6"/>
      <c r="D19" s="12" t="s">
        <v>29</v>
      </c>
      <c r="E19" s="20"/>
      <c r="F19" s="20"/>
      <c r="AK19" s="12" t="s">
        <v>20</v>
      </c>
      <c r="AN19" s="18">
        <v>47213043</v>
      </c>
      <c r="AR19" s="6"/>
      <c r="BS19" s="3" t="s">
        <v>5</v>
      </c>
    </row>
    <row r="20" spans="2:71" ht="18" customHeight="1">
      <c r="B20" s="6"/>
      <c r="E20" s="296" t="s">
        <v>26</v>
      </c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K20" s="12" t="s">
        <v>22</v>
      </c>
      <c r="AN20" s="19" t="s">
        <v>27</v>
      </c>
      <c r="AR20" s="6"/>
      <c r="BS20" s="3" t="s">
        <v>28</v>
      </c>
    </row>
    <row r="21" spans="2:44" ht="6.75" customHeight="1">
      <c r="B21" s="6"/>
      <c r="AR21" s="6"/>
    </row>
    <row r="22" spans="2:44" ht="12" customHeight="1">
      <c r="B22" s="6"/>
      <c r="D22" s="12" t="s">
        <v>30</v>
      </c>
      <c r="AR22" s="6"/>
    </row>
    <row r="23" spans="2:44" ht="16.5" customHeight="1">
      <c r="B23" s="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R23" s="6"/>
    </row>
    <row r="24" spans="2:44" ht="6.75" customHeight="1">
      <c r="B24" s="6"/>
      <c r="AR24" s="6"/>
    </row>
    <row r="25" spans="2:44" ht="6.75" customHeight="1">
      <c r="B25" s="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6"/>
    </row>
    <row r="26" spans="2:44" ht="14.25" customHeight="1">
      <c r="B26" s="6"/>
      <c r="D26" s="22" t="s">
        <v>31</v>
      </c>
      <c r="AK26" s="297">
        <f>ROUND(AG94,2)</f>
        <v>624803.28</v>
      </c>
      <c r="AL26" s="297"/>
      <c r="AM26" s="297"/>
      <c r="AN26" s="297"/>
      <c r="AO26" s="297"/>
      <c r="AR26" s="6"/>
    </row>
    <row r="27" spans="2:44" ht="14.25" customHeight="1">
      <c r="B27" s="6"/>
      <c r="D27" s="22" t="s">
        <v>32</v>
      </c>
      <c r="AK27" s="297">
        <f>ROUND(AG97,2)</f>
        <v>62480.33</v>
      </c>
      <c r="AL27" s="297"/>
      <c r="AM27" s="297"/>
      <c r="AN27" s="297"/>
      <c r="AO27" s="297"/>
      <c r="AR27" s="6"/>
    </row>
    <row r="28" spans="1:57" s="25" customFormat="1" ht="6.75" customHeight="1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4"/>
      <c r="BE28" s="23"/>
    </row>
    <row r="29" spans="1:57" s="25" customFormat="1" ht="25.5" customHeight="1">
      <c r="A29" s="23"/>
      <c r="B29" s="24"/>
      <c r="C29" s="23"/>
      <c r="D29" s="26" t="s">
        <v>33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98">
        <f>ROUND(AK26+AK27,2)</f>
        <v>687283.61</v>
      </c>
      <c r="AL29" s="298"/>
      <c r="AM29" s="298"/>
      <c r="AN29" s="298"/>
      <c r="AO29" s="298"/>
      <c r="AP29" s="23"/>
      <c r="AQ29" s="23"/>
      <c r="AR29" s="24"/>
      <c r="BE29" s="23"/>
    </row>
    <row r="30" spans="1:57" s="25" customFormat="1" ht="6.75" customHeight="1">
      <c r="A30" s="23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4"/>
      <c r="BE30" s="23"/>
    </row>
    <row r="31" spans="1:57" s="25" customFormat="1" ht="12.7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99" t="s">
        <v>34</v>
      </c>
      <c r="M31" s="299"/>
      <c r="N31" s="299"/>
      <c r="O31" s="299"/>
      <c r="P31" s="299"/>
      <c r="Q31" s="23"/>
      <c r="R31" s="23"/>
      <c r="S31" s="23"/>
      <c r="T31" s="23"/>
      <c r="U31" s="23"/>
      <c r="V31" s="23"/>
      <c r="W31" s="299" t="s">
        <v>35</v>
      </c>
      <c r="X31" s="299"/>
      <c r="Y31" s="299"/>
      <c r="Z31" s="299"/>
      <c r="AA31" s="299"/>
      <c r="AB31" s="299"/>
      <c r="AC31" s="299"/>
      <c r="AD31" s="299"/>
      <c r="AE31" s="299"/>
      <c r="AF31" s="23"/>
      <c r="AG31" s="23"/>
      <c r="AH31" s="23"/>
      <c r="AI31" s="23"/>
      <c r="AJ31" s="23"/>
      <c r="AK31" s="299" t="s">
        <v>36</v>
      </c>
      <c r="AL31" s="299"/>
      <c r="AM31" s="299"/>
      <c r="AN31" s="299"/>
      <c r="AO31" s="299"/>
      <c r="AP31" s="23"/>
      <c r="AQ31" s="23"/>
      <c r="AR31" s="24"/>
      <c r="BE31" s="23"/>
    </row>
    <row r="32" spans="2:52" s="28" customFormat="1" ht="14.25" customHeight="1">
      <c r="B32" s="29"/>
      <c r="D32" s="12" t="s">
        <v>37</v>
      </c>
      <c r="F32" s="30" t="s">
        <v>38</v>
      </c>
      <c r="L32" s="300">
        <v>0.2</v>
      </c>
      <c r="M32" s="300"/>
      <c r="N32" s="300"/>
      <c r="O32" s="300"/>
      <c r="P32" s="300"/>
      <c r="Q32" s="31"/>
      <c r="R32" s="31"/>
      <c r="S32" s="31"/>
      <c r="T32" s="31"/>
      <c r="U32" s="31"/>
      <c r="V32" s="31"/>
      <c r="W32" s="301">
        <f>ROUND(AZ94+SUM(CD97),2)</f>
        <v>0</v>
      </c>
      <c r="X32" s="301"/>
      <c r="Y32" s="301"/>
      <c r="Z32" s="301"/>
      <c r="AA32" s="301"/>
      <c r="AB32" s="301"/>
      <c r="AC32" s="301"/>
      <c r="AD32" s="301"/>
      <c r="AE32" s="301"/>
      <c r="AF32" s="31"/>
      <c r="AG32" s="31"/>
      <c r="AH32" s="31"/>
      <c r="AI32" s="31"/>
      <c r="AJ32" s="31"/>
      <c r="AK32" s="301">
        <f>ROUND(AV94+SUM(BY97),2)</f>
        <v>0</v>
      </c>
      <c r="AL32" s="301"/>
      <c r="AM32" s="301"/>
      <c r="AN32" s="301"/>
      <c r="AO32" s="301"/>
      <c r="AP32" s="31"/>
      <c r="AQ32" s="31"/>
      <c r="AR32" s="32"/>
      <c r="AS32" s="31"/>
      <c r="AT32" s="31"/>
      <c r="AU32" s="31"/>
      <c r="AV32" s="31"/>
      <c r="AW32" s="31"/>
      <c r="AX32" s="31"/>
      <c r="AY32" s="31"/>
      <c r="AZ32" s="31"/>
    </row>
    <row r="33" spans="2:44" s="28" customFormat="1" ht="14.25" customHeight="1">
      <c r="B33" s="29"/>
      <c r="F33" s="30" t="s">
        <v>39</v>
      </c>
      <c r="L33" s="302">
        <v>0.2</v>
      </c>
      <c r="M33" s="302"/>
      <c r="N33" s="302"/>
      <c r="O33" s="302"/>
      <c r="P33" s="302"/>
      <c r="W33" s="303">
        <f>ROUND(BA94+SUM(CE97),2)</f>
        <v>687283.61</v>
      </c>
      <c r="X33" s="303"/>
      <c r="Y33" s="303"/>
      <c r="Z33" s="303"/>
      <c r="AA33" s="303"/>
      <c r="AB33" s="303"/>
      <c r="AC33" s="303"/>
      <c r="AD33" s="303"/>
      <c r="AE33" s="303"/>
      <c r="AK33" s="303">
        <f>ROUND(AW94+SUM(BZ97),2)</f>
        <v>137456.72</v>
      </c>
      <c r="AL33" s="303"/>
      <c r="AM33" s="303"/>
      <c r="AN33" s="303"/>
      <c r="AO33" s="303"/>
      <c r="AR33" s="29"/>
    </row>
    <row r="34" spans="2:44" s="28" customFormat="1" ht="14.25" customHeight="1" hidden="1">
      <c r="B34" s="29"/>
      <c r="F34" s="12" t="s">
        <v>40</v>
      </c>
      <c r="L34" s="302">
        <v>0.2</v>
      </c>
      <c r="M34" s="302"/>
      <c r="N34" s="302"/>
      <c r="O34" s="302"/>
      <c r="P34" s="302"/>
      <c r="W34" s="303">
        <f>ROUND(BB94+SUM(CF97),2)</f>
        <v>0</v>
      </c>
      <c r="X34" s="303"/>
      <c r="Y34" s="303"/>
      <c r="Z34" s="303"/>
      <c r="AA34" s="303"/>
      <c r="AB34" s="303"/>
      <c r="AC34" s="303"/>
      <c r="AD34" s="303"/>
      <c r="AE34" s="303"/>
      <c r="AK34" s="303">
        <v>0</v>
      </c>
      <c r="AL34" s="303"/>
      <c r="AM34" s="303"/>
      <c r="AN34" s="303"/>
      <c r="AO34" s="303"/>
      <c r="AR34" s="29"/>
    </row>
    <row r="35" spans="2:44" s="28" customFormat="1" ht="14.25" customHeight="1" hidden="1">
      <c r="B35" s="29"/>
      <c r="F35" s="12" t="s">
        <v>41</v>
      </c>
      <c r="L35" s="302">
        <v>0.2</v>
      </c>
      <c r="M35" s="302"/>
      <c r="N35" s="302"/>
      <c r="O35" s="302"/>
      <c r="P35" s="302"/>
      <c r="W35" s="303">
        <f>ROUND(BC94+SUM(CG97),2)</f>
        <v>0</v>
      </c>
      <c r="X35" s="303"/>
      <c r="Y35" s="303"/>
      <c r="Z35" s="303"/>
      <c r="AA35" s="303"/>
      <c r="AB35" s="303"/>
      <c r="AC35" s="303"/>
      <c r="AD35" s="303"/>
      <c r="AE35" s="303"/>
      <c r="AK35" s="303">
        <v>0</v>
      </c>
      <c r="AL35" s="303"/>
      <c r="AM35" s="303"/>
      <c r="AN35" s="303"/>
      <c r="AO35" s="303"/>
      <c r="AR35" s="29"/>
    </row>
    <row r="36" spans="2:52" s="28" customFormat="1" ht="14.25" customHeight="1" hidden="1">
      <c r="B36" s="29"/>
      <c r="F36" s="30" t="s">
        <v>42</v>
      </c>
      <c r="L36" s="300">
        <v>0</v>
      </c>
      <c r="M36" s="300"/>
      <c r="N36" s="300"/>
      <c r="O36" s="300"/>
      <c r="P36" s="300"/>
      <c r="Q36" s="31"/>
      <c r="R36" s="31"/>
      <c r="S36" s="31"/>
      <c r="T36" s="31"/>
      <c r="U36" s="31"/>
      <c r="V36" s="31"/>
      <c r="W36" s="301">
        <f>ROUND(BD94+SUM(CH97),2)</f>
        <v>0</v>
      </c>
      <c r="X36" s="301"/>
      <c r="Y36" s="301"/>
      <c r="Z36" s="301"/>
      <c r="AA36" s="301"/>
      <c r="AB36" s="301"/>
      <c r="AC36" s="301"/>
      <c r="AD36" s="301"/>
      <c r="AE36" s="301"/>
      <c r="AF36" s="31"/>
      <c r="AG36" s="31"/>
      <c r="AH36" s="31"/>
      <c r="AI36" s="31"/>
      <c r="AJ36" s="31"/>
      <c r="AK36" s="301">
        <v>0</v>
      </c>
      <c r="AL36" s="301"/>
      <c r="AM36" s="301"/>
      <c r="AN36" s="301"/>
      <c r="AO36" s="301"/>
      <c r="AP36" s="31"/>
      <c r="AQ36" s="31"/>
      <c r="AR36" s="32"/>
      <c r="AS36" s="31"/>
      <c r="AT36" s="31"/>
      <c r="AU36" s="31"/>
      <c r="AV36" s="31"/>
      <c r="AW36" s="31"/>
      <c r="AX36" s="31"/>
      <c r="AY36" s="31"/>
      <c r="AZ36" s="31"/>
    </row>
    <row r="37" spans="1:57" s="25" customFormat="1" ht="6.75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BE37" s="23"/>
    </row>
    <row r="38" spans="1:57" s="25" customFormat="1" ht="25.5" customHeight="1">
      <c r="A38" s="23"/>
      <c r="B38" s="24"/>
      <c r="C38" s="33"/>
      <c r="D38" s="34" t="s">
        <v>43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 t="s">
        <v>44</v>
      </c>
      <c r="U38" s="35"/>
      <c r="V38" s="35"/>
      <c r="W38" s="35"/>
      <c r="X38" s="304" t="s">
        <v>45</v>
      </c>
      <c r="Y38" s="304"/>
      <c r="Z38" s="304"/>
      <c r="AA38" s="304"/>
      <c r="AB38" s="304"/>
      <c r="AC38" s="35"/>
      <c r="AD38" s="35"/>
      <c r="AE38" s="35"/>
      <c r="AF38" s="35"/>
      <c r="AG38" s="35"/>
      <c r="AH38" s="35"/>
      <c r="AI38" s="35"/>
      <c r="AJ38" s="35"/>
      <c r="AK38" s="305">
        <f>SUM(AK29:AK36)</f>
        <v>824740.33</v>
      </c>
      <c r="AL38" s="305"/>
      <c r="AM38" s="305"/>
      <c r="AN38" s="305"/>
      <c r="AO38" s="305"/>
      <c r="AP38" s="33"/>
      <c r="AQ38" s="33"/>
      <c r="AR38" s="24"/>
      <c r="BE38" s="23"/>
    </row>
    <row r="39" spans="1:57" s="25" customFormat="1" ht="6.75" customHeight="1">
      <c r="A39" s="23"/>
      <c r="B39" s="2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4"/>
      <c r="BE39" s="23"/>
    </row>
    <row r="40" spans="1:57" s="25" customFormat="1" ht="14.25" customHeight="1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4"/>
      <c r="BE40" s="23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ht="14.25" customHeight="1">
      <c r="B47" s="6"/>
      <c r="AR47" s="6"/>
    </row>
    <row r="48" spans="2:44" ht="14.25" customHeight="1">
      <c r="B48" s="6"/>
      <c r="AR48" s="6"/>
    </row>
    <row r="49" spans="2:44" s="25" customFormat="1" ht="14.25" customHeight="1">
      <c r="B49" s="37"/>
      <c r="D49" s="38" t="s">
        <v>46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47</v>
      </c>
      <c r="AI49" s="39"/>
      <c r="AJ49" s="39"/>
      <c r="AK49" s="39"/>
      <c r="AL49" s="39"/>
      <c r="AM49" s="39"/>
      <c r="AN49" s="39"/>
      <c r="AO49" s="39"/>
      <c r="AR49" s="37"/>
    </row>
    <row r="50" spans="2:44" ht="11.25">
      <c r="B50" s="6"/>
      <c r="AR50" s="6"/>
    </row>
    <row r="51" spans="2:44" ht="11.25">
      <c r="B51" s="6"/>
      <c r="AR51" s="6"/>
    </row>
    <row r="52" spans="2:44" ht="11.25">
      <c r="B52" s="6"/>
      <c r="AR52" s="6"/>
    </row>
    <row r="53" spans="2:44" ht="11.25">
      <c r="B53" s="6"/>
      <c r="AR53" s="6"/>
    </row>
    <row r="54" spans="2:44" ht="11.25">
      <c r="B54" s="6"/>
      <c r="AR54" s="6"/>
    </row>
    <row r="55" spans="2:44" ht="11.25">
      <c r="B55" s="6"/>
      <c r="AR55" s="6"/>
    </row>
    <row r="56" spans="2:44" ht="11.25">
      <c r="B56" s="6"/>
      <c r="AR56" s="6"/>
    </row>
    <row r="57" spans="2:44" ht="11.25">
      <c r="B57" s="6"/>
      <c r="AR57" s="6"/>
    </row>
    <row r="58" spans="2:44" ht="11.25">
      <c r="B58" s="6"/>
      <c r="AR58" s="6"/>
    </row>
    <row r="59" spans="2:44" ht="11.25">
      <c r="B59" s="6"/>
      <c r="AR59" s="6"/>
    </row>
    <row r="60" spans="1:57" s="25" customFormat="1" ht="12.75">
      <c r="A60" s="23"/>
      <c r="B60" s="24"/>
      <c r="C60" s="23"/>
      <c r="D60" s="40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40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40" t="s">
        <v>48</v>
      </c>
      <c r="AI60" s="27"/>
      <c r="AJ60" s="27"/>
      <c r="AK60" s="27"/>
      <c r="AL60" s="27"/>
      <c r="AM60" s="40" t="s">
        <v>49</v>
      </c>
      <c r="AN60" s="27"/>
      <c r="AO60" s="27"/>
      <c r="AP60" s="23"/>
      <c r="AQ60" s="23"/>
      <c r="AR60" s="24"/>
      <c r="BE60" s="23"/>
    </row>
    <row r="61" spans="2:44" ht="11.25">
      <c r="B61" s="6"/>
      <c r="AR61" s="6"/>
    </row>
    <row r="62" spans="2:44" ht="11.25">
      <c r="B62" s="6"/>
      <c r="AR62" s="6"/>
    </row>
    <row r="63" spans="2:44" ht="11.25">
      <c r="B63" s="6"/>
      <c r="AR63" s="6"/>
    </row>
    <row r="64" spans="1:57" s="25" customFormat="1" ht="12.75">
      <c r="A64" s="23"/>
      <c r="B64" s="24"/>
      <c r="C64" s="23"/>
      <c r="D64" s="38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51</v>
      </c>
      <c r="AI64" s="41"/>
      <c r="AJ64" s="41"/>
      <c r="AK64" s="41"/>
      <c r="AL64" s="41"/>
      <c r="AM64" s="41"/>
      <c r="AN64" s="41"/>
      <c r="AO64" s="41"/>
      <c r="AP64" s="23"/>
      <c r="AQ64" s="23"/>
      <c r="AR64" s="24"/>
      <c r="BE64" s="23"/>
    </row>
    <row r="65" spans="2:44" ht="11.25">
      <c r="B65" s="6"/>
      <c r="AR65" s="6"/>
    </row>
    <row r="66" spans="2:44" ht="11.25">
      <c r="B66" s="6"/>
      <c r="AR66" s="6"/>
    </row>
    <row r="67" spans="2:44" ht="11.25">
      <c r="B67" s="6"/>
      <c r="AR67" s="6"/>
    </row>
    <row r="68" spans="2:44" ht="11.25">
      <c r="B68" s="6"/>
      <c r="AR68" s="6"/>
    </row>
    <row r="69" spans="2:44" ht="11.25">
      <c r="B69" s="6"/>
      <c r="AR69" s="6"/>
    </row>
    <row r="70" spans="2:44" ht="11.25">
      <c r="B70" s="6"/>
      <c r="AR70" s="6"/>
    </row>
    <row r="71" spans="2:44" ht="11.25">
      <c r="B71" s="6"/>
      <c r="AR71" s="6"/>
    </row>
    <row r="72" spans="2:44" ht="11.25">
      <c r="B72" s="6"/>
      <c r="AR72" s="6"/>
    </row>
    <row r="73" spans="2:44" ht="11.25">
      <c r="B73" s="6"/>
      <c r="AR73" s="6"/>
    </row>
    <row r="74" spans="2:44" ht="11.25">
      <c r="B74" s="6"/>
      <c r="AR74" s="6"/>
    </row>
    <row r="75" spans="1:57" s="25" customFormat="1" ht="12.75">
      <c r="A75" s="23"/>
      <c r="B75" s="24"/>
      <c r="C75" s="23"/>
      <c r="D75" s="40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40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40" t="s">
        <v>48</v>
      </c>
      <c r="AI75" s="27"/>
      <c r="AJ75" s="27"/>
      <c r="AK75" s="27"/>
      <c r="AL75" s="27"/>
      <c r="AM75" s="40" t="s">
        <v>49</v>
      </c>
      <c r="AN75" s="27"/>
      <c r="AO75" s="27"/>
      <c r="AP75" s="23"/>
      <c r="AQ75" s="23"/>
      <c r="AR75" s="24"/>
      <c r="BE75" s="23"/>
    </row>
    <row r="76" spans="1:57" s="25" customFormat="1" ht="11.25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4"/>
      <c r="BE76" s="23"/>
    </row>
    <row r="77" spans="1:57" s="25" customFormat="1" ht="6.75" customHeight="1">
      <c r="A77" s="23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4"/>
      <c r="BE77" s="23"/>
    </row>
    <row r="81" spans="1:57" s="25" customFormat="1" ht="6.75" customHeight="1">
      <c r="A81" s="23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4"/>
      <c r="BE81" s="23"/>
    </row>
    <row r="82" spans="1:57" s="25" customFormat="1" ht="24.75" customHeight="1">
      <c r="A82" s="23"/>
      <c r="B82" s="24"/>
      <c r="C82" s="7" t="s">
        <v>52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4"/>
      <c r="BE82" s="23"/>
    </row>
    <row r="83" spans="1:57" s="25" customFormat="1" ht="6.75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4"/>
      <c r="BE83" s="23"/>
    </row>
    <row r="84" spans="2:44" s="46" customFormat="1" ht="12" customHeight="1">
      <c r="B84" s="47"/>
      <c r="C84" s="12" t="s">
        <v>10</v>
      </c>
      <c r="L84" s="46" t="str">
        <f>K5</f>
        <v>05</v>
      </c>
      <c r="AR84" s="47"/>
    </row>
    <row r="85" spans="2:44" s="48" customFormat="1" ht="36.75" customHeight="1">
      <c r="B85" s="49"/>
      <c r="C85" s="50" t="s">
        <v>12</v>
      </c>
      <c r="L85" s="306" t="str">
        <f>K6</f>
        <v>Revitalizácia vnútroblokov CMZ v meste Žiar nad Hronom, 2. fáza </v>
      </c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R85" s="49"/>
    </row>
    <row r="86" spans="1:57" s="25" customFormat="1" ht="6.75" customHeight="1">
      <c r="A86" s="23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4"/>
      <c r="BE86" s="23"/>
    </row>
    <row r="87" spans="1:57" s="25" customFormat="1" ht="12" customHeight="1">
      <c r="A87" s="23"/>
      <c r="B87" s="24"/>
      <c r="C87" s="12" t="s">
        <v>16</v>
      </c>
      <c r="D87" s="23"/>
      <c r="E87" s="23"/>
      <c r="F87" s="23"/>
      <c r="G87" s="23"/>
      <c r="H87" s="23"/>
      <c r="I87" s="23"/>
      <c r="J87" s="23"/>
      <c r="K87" s="23"/>
      <c r="L87" s="51" t="str">
        <f>IF(K8="","",K8)</f>
        <v> 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12" t="s">
        <v>18</v>
      </c>
      <c r="AJ87" s="23"/>
      <c r="AK87" s="23"/>
      <c r="AL87" s="23"/>
      <c r="AM87" s="307">
        <f>IF(AN8="","",AN8)</f>
        <v>44699</v>
      </c>
      <c r="AN87" s="307"/>
      <c r="AO87" s="23"/>
      <c r="AP87" s="23"/>
      <c r="AQ87" s="23"/>
      <c r="AR87" s="24"/>
      <c r="BE87" s="23"/>
    </row>
    <row r="88" spans="1:57" s="25" customFormat="1" ht="6.75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4"/>
      <c r="BE88" s="23"/>
    </row>
    <row r="89" spans="1:57" s="25" customFormat="1" ht="27" customHeight="1">
      <c r="A89" s="23"/>
      <c r="B89" s="24"/>
      <c r="C89" s="12" t="s">
        <v>19</v>
      </c>
      <c r="D89" s="23"/>
      <c r="E89" s="23"/>
      <c r="F89" s="23"/>
      <c r="G89" s="23"/>
      <c r="H89" s="23"/>
      <c r="I89" s="23"/>
      <c r="J89" s="23"/>
      <c r="K89" s="23"/>
      <c r="L89" s="46" t="str">
        <f>IF(E11="","",E11)</f>
        <v>MsÚ Žiar nad Hronom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12" t="s">
        <v>25</v>
      </c>
      <c r="AJ89" s="23"/>
      <c r="AK89" s="23"/>
      <c r="AL89" s="23"/>
      <c r="AM89" s="308" t="str">
        <f>IF(E17="","",E17)</f>
        <v>Green Architecture SK, s.r.o.</v>
      </c>
      <c r="AN89" s="308"/>
      <c r="AO89" s="308"/>
      <c r="AP89" s="308"/>
      <c r="AQ89" s="23"/>
      <c r="AR89" s="24"/>
      <c r="AS89" s="309" t="s">
        <v>53</v>
      </c>
      <c r="AT89" s="309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3"/>
    </row>
    <row r="90" spans="1:57" s="25" customFormat="1" ht="23.25" customHeight="1">
      <c r="A90" s="23"/>
      <c r="B90" s="24"/>
      <c r="C90" s="12" t="s">
        <v>23</v>
      </c>
      <c r="D90" s="23"/>
      <c r="E90" s="23"/>
      <c r="F90" s="23"/>
      <c r="G90" s="23"/>
      <c r="H90" s="23"/>
      <c r="I90" s="23"/>
      <c r="J90" s="23"/>
      <c r="K90" s="23"/>
      <c r="L90" s="16" t="s">
        <v>24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23"/>
      <c r="AH90" s="23"/>
      <c r="AI90" s="12" t="s">
        <v>29</v>
      </c>
      <c r="AJ90" s="23"/>
      <c r="AK90" s="23"/>
      <c r="AL90" s="23"/>
      <c r="AM90" s="308" t="str">
        <f>IF(E20="","",E20)</f>
        <v>Green Architecture SK, s.r.o.</v>
      </c>
      <c r="AN90" s="308"/>
      <c r="AO90" s="308"/>
      <c r="AP90" s="308"/>
      <c r="AQ90" s="23"/>
      <c r="AR90" s="24"/>
      <c r="AS90" s="309"/>
      <c r="AT90" s="30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3"/>
    </row>
    <row r="91" spans="1:57" s="25" customFormat="1" ht="18.75" customHeight="1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4"/>
      <c r="AS91" s="309"/>
      <c r="AT91" s="30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3"/>
    </row>
    <row r="92" spans="1:57" s="25" customFormat="1" ht="29.25" customHeight="1">
      <c r="A92" s="23"/>
      <c r="B92" s="24"/>
      <c r="C92" s="310" t="s">
        <v>54</v>
      </c>
      <c r="D92" s="310"/>
      <c r="E92" s="310"/>
      <c r="F92" s="310"/>
      <c r="G92" s="310"/>
      <c r="H92" s="57"/>
      <c r="I92" s="311" t="s">
        <v>55</v>
      </c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2" t="s">
        <v>56</v>
      </c>
      <c r="AH92" s="312"/>
      <c r="AI92" s="312"/>
      <c r="AJ92" s="312"/>
      <c r="AK92" s="312"/>
      <c r="AL92" s="312"/>
      <c r="AM92" s="312"/>
      <c r="AN92" s="313" t="s">
        <v>57</v>
      </c>
      <c r="AO92" s="313"/>
      <c r="AP92" s="313"/>
      <c r="AQ92" s="58" t="s">
        <v>58</v>
      </c>
      <c r="AR92" s="24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3"/>
    </row>
    <row r="93" spans="1:57" s="25" customFormat="1" ht="10.5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4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3"/>
    </row>
    <row r="94" spans="2:90" s="65" customFormat="1" ht="32.25" customHeight="1">
      <c r="B94" s="66"/>
      <c r="C94" s="67" t="s">
        <v>71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314">
        <f>'SO-01 K...'!I96</f>
        <v>624803.28</v>
      </c>
      <c r="AH94" s="314"/>
      <c r="AI94" s="314"/>
      <c r="AJ94" s="314"/>
      <c r="AK94" s="314"/>
      <c r="AL94" s="314"/>
      <c r="AM94" s="314"/>
      <c r="AN94" s="315">
        <f>AG94*1.2</f>
        <v>749763.936</v>
      </c>
      <c r="AO94" s="315"/>
      <c r="AP94" s="315"/>
      <c r="AQ94" s="69"/>
      <c r="AR94" s="66"/>
      <c r="AS94" s="70">
        <f>ROUND(AS95,2)</f>
        <v>0</v>
      </c>
      <c r="AT94" s="71">
        <f>ROUND(SUM(AV94:AW94),2)</f>
        <v>137456.72</v>
      </c>
      <c r="AU94" s="72" t="e">
        <f>ROUND(AU95,5)</f>
        <v>#REF!</v>
      </c>
      <c r="AV94" s="71">
        <f>ROUND(AZ94*L32,2)</f>
        <v>0</v>
      </c>
      <c r="AW94" s="71">
        <f>ROUND(BA94*L33,2)</f>
        <v>137456.72</v>
      </c>
      <c r="AX94" s="71">
        <f>ROUND(BB94*L32,2)</f>
        <v>0</v>
      </c>
      <c r="AY94" s="71">
        <f>ROUND(BC94*L33,2)</f>
        <v>0</v>
      </c>
      <c r="AZ94" s="71">
        <f>ROUND(AZ95,2)</f>
        <v>0</v>
      </c>
      <c r="BA94" s="71">
        <f>ROUND(BA95,2)</f>
        <v>687283.61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3</v>
      </c>
      <c r="BX94" s="74" t="s">
        <v>76</v>
      </c>
      <c r="CL94" s="74"/>
    </row>
    <row r="95" spans="1:91" s="85" customFormat="1" ht="37.5" customHeight="1">
      <c r="A95" s="76" t="s">
        <v>77</v>
      </c>
      <c r="B95" s="77"/>
      <c r="C95" s="78"/>
      <c r="D95" s="316"/>
      <c r="E95" s="316"/>
      <c r="F95" s="316"/>
      <c r="G95" s="316"/>
      <c r="H95" s="316"/>
      <c r="I95" s="79"/>
      <c r="J95" s="316" t="s">
        <v>78</v>
      </c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7">
        <f>AG94</f>
        <v>624803.28</v>
      </c>
      <c r="AH95" s="317"/>
      <c r="AI95" s="317"/>
      <c r="AJ95" s="317"/>
      <c r="AK95" s="317"/>
      <c r="AL95" s="317"/>
      <c r="AM95" s="317"/>
      <c r="AN95" s="317">
        <f>AG95*1.2</f>
        <v>749763.936</v>
      </c>
      <c r="AO95" s="317"/>
      <c r="AP95" s="317"/>
      <c r="AQ95" s="80" t="s">
        <v>79</v>
      </c>
      <c r="AR95" s="77"/>
      <c r="AS95" s="81">
        <v>0</v>
      </c>
      <c r="AT95" s="82">
        <f>ROUND(SUM(AV95:AW95),2)</f>
        <v>137456.72</v>
      </c>
      <c r="AU95" s="83" t="e">
        <f>'SO-01 K...'!O137</f>
        <v>#REF!</v>
      </c>
      <c r="AV95" s="82">
        <f>'SO-01 K...'!I35</f>
        <v>0</v>
      </c>
      <c r="AW95" s="82">
        <f>'SO-01 K...'!I36</f>
        <v>137456.72199999995</v>
      </c>
      <c r="AX95" s="82">
        <f>'SO-01 K...'!I37</f>
        <v>0</v>
      </c>
      <c r="AY95" s="82">
        <f>'SO-01 K...'!I38</f>
        <v>0</v>
      </c>
      <c r="AZ95" s="82">
        <f>'SO-01 K...'!E35</f>
        <v>0</v>
      </c>
      <c r="BA95" s="82">
        <f>'SO-01 K...'!E36</f>
        <v>687283.61</v>
      </c>
      <c r="BB95" s="82">
        <f>'SO-01 K...'!E37</f>
        <v>0</v>
      </c>
      <c r="BC95" s="82">
        <f>'SO-01 K...'!E38</f>
        <v>0</v>
      </c>
      <c r="BD95" s="84">
        <f>'SO-01 K...'!E39</f>
        <v>0</v>
      </c>
      <c r="BT95" s="86" t="s">
        <v>80</v>
      </c>
      <c r="BV95" s="86" t="s">
        <v>75</v>
      </c>
      <c r="BW95" s="86" t="s">
        <v>81</v>
      </c>
      <c r="BX95" s="86" t="s">
        <v>3</v>
      </c>
      <c r="CL95" s="86"/>
      <c r="CM95" s="86" t="s">
        <v>73</v>
      </c>
    </row>
    <row r="96" spans="2:44" ht="11.25">
      <c r="B96" s="6"/>
      <c r="AR96" s="6"/>
    </row>
    <row r="97" spans="1:57" s="25" customFormat="1" ht="30" customHeight="1">
      <c r="A97" s="23"/>
      <c r="B97" s="24"/>
      <c r="C97" s="67" t="s">
        <v>82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315">
        <f>'SO-01 K...'!I116</f>
        <v>62480.328</v>
      </c>
      <c r="AH97" s="315"/>
      <c r="AI97" s="315"/>
      <c r="AJ97" s="315"/>
      <c r="AK97" s="315"/>
      <c r="AL97" s="315"/>
      <c r="AM97" s="315"/>
      <c r="AN97" s="315">
        <f>AG97*1.2</f>
        <v>74976.3936</v>
      </c>
      <c r="AO97" s="315"/>
      <c r="AP97" s="315"/>
      <c r="AQ97" s="87"/>
      <c r="AR97" s="24"/>
      <c r="AS97" s="59" t="s">
        <v>83</v>
      </c>
      <c r="AT97" s="60" t="s">
        <v>84</v>
      </c>
      <c r="AU97" s="60" t="s">
        <v>37</v>
      </c>
      <c r="AV97" s="61" t="s">
        <v>60</v>
      </c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s="25" customFormat="1" ht="10.5" customHeight="1">
      <c r="A98" s="23"/>
      <c r="B98" s="2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4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s="25" customFormat="1" ht="30" customHeight="1">
      <c r="A99" s="23"/>
      <c r="B99" s="24"/>
      <c r="C99" s="88" t="s">
        <v>85</v>
      </c>
      <c r="D99" s="89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318">
        <f>ROUND(AG94+AG97,2)</f>
        <v>687283.61</v>
      </c>
      <c r="AH99" s="318"/>
      <c r="AI99" s="318"/>
      <c r="AJ99" s="318"/>
      <c r="AK99" s="318"/>
      <c r="AL99" s="318"/>
      <c r="AM99" s="318"/>
      <c r="AN99" s="318">
        <f>AG99*1.2</f>
        <v>824740.3319999999</v>
      </c>
      <c r="AO99" s="318"/>
      <c r="AP99" s="318"/>
      <c r="AQ99" s="89"/>
      <c r="AR99" s="24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s="25" customFormat="1" ht="6.75" customHeight="1">
      <c r="A100" s="23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24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</sheetData>
  <sheetProtection selectLockedCells="1" selectUnlockedCells="1"/>
  <mergeCells count="48">
    <mergeCell ref="AG97:AM97"/>
    <mergeCell ref="AN97:AP97"/>
    <mergeCell ref="AG99:AM99"/>
    <mergeCell ref="AN99:AP99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6:P36"/>
    <mergeCell ref="W36:AE36"/>
    <mergeCell ref="AK36:AO36"/>
    <mergeCell ref="X38:AB38"/>
    <mergeCell ref="AK38:AO38"/>
    <mergeCell ref="L85:AO85"/>
    <mergeCell ref="L34:P34"/>
    <mergeCell ref="W34:AE34"/>
    <mergeCell ref="AK34:AO34"/>
    <mergeCell ref="L35:P35"/>
    <mergeCell ref="W35:AE35"/>
    <mergeCell ref="AK35:AO35"/>
    <mergeCell ref="L32:P32"/>
    <mergeCell ref="W32:AE32"/>
    <mergeCell ref="AK32:AO32"/>
    <mergeCell ref="L33:P33"/>
    <mergeCell ref="W33:AE33"/>
    <mergeCell ref="AK33:AO33"/>
    <mergeCell ref="AK26:AO26"/>
    <mergeCell ref="AK27:AO27"/>
    <mergeCell ref="AK29:AO29"/>
    <mergeCell ref="L31:P31"/>
    <mergeCell ref="W31:AE31"/>
    <mergeCell ref="AK31:AO31"/>
    <mergeCell ref="AR2:BE2"/>
    <mergeCell ref="K5:AO5"/>
    <mergeCell ref="K6:AO6"/>
    <mergeCell ref="E17:AI17"/>
    <mergeCell ref="E20:AI20"/>
    <mergeCell ref="E23:AN23"/>
  </mergeCells>
  <hyperlinks>
    <hyperlink ref="A95" location="STIGA FINAL2022 - SO-01 K!...C2" display="/"/>
  </hyperlink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CE,Regular"&amp;8Strana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V332"/>
  <sheetViews>
    <sheetView showGridLines="0" tabSelected="1" zoomScale="65" zoomScaleNormal="65" zoomScalePageLayoutView="0" workbookViewId="0" topLeftCell="A21">
      <selection activeCell="U36" sqref="U36"/>
    </sheetView>
  </sheetViews>
  <sheetFormatPr defaultColWidth="11.57421875" defaultRowHeight="12.75"/>
  <cols>
    <col min="1" max="1" width="0.9921875" style="1" customWidth="1"/>
    <col min="2" max="2" width="3.28125" style="1" customWidth="1"/>
    <col min="3" max="3" width="3.421875" style="1" customWidth="1"/>
    <col min="4" max="4" width="13.7109375" style="1" customWidth="1"/>
    <col min="5" max="5" width="40.7109375" style="1" customWidth="1"/>
    <col min="6" max="6" width="6.00390625" style="1" customWidth="1"/>
    <col min="7" max="7" width="11.28125" style="1" customWidth="1"/>
    <col min="8" max="8" width="12.7109375" style="1" customWidth="1"/>
    <col min="9" max="9" width="17.8515625" style="1" customWidth="1"/>
    <col min="10" max="10" width="0" style="1" hidden="1" customWidth="1"/>
    <col min="11" max="11" width="7.421875" style="1" customWidth="1"/>
    <col min="12" max="20" width="0" style="1" hidden="1" customWidth="1"/>
    <col min="21" max="21" width="9.8515625" style="1" customWidth="1"/>
    <col min="22" max="22" width="13.140625" style="1" customWidth="1"/>
    <col min="23" max="23" width="9.8515625" style="1" customWidth="1"/>
    <col min="24" max="24" width="12.00390625" style="1" customWidth="1"/>
    <col min="25" max="25" width="8.8515625" style="1" customWidth="1"/>
    <col min="26" max="26" width="12.00390625" style="1" customWidth="1"/>
    <col min="27" max="27" width="13.140625" style="1" customWidth="1"/>
    <col min="28" max="28" width="8.8515625" style="1" customWidth="1"/>
    <col min="29" max="29" width="12.00390625" style="1" customWidth="1"/>
    <col min="30" max="30" width="13.140625" style="1" customWidth="1"/>
    <col min="31" max="42" width="7.00390625" style="1" customWidth="1"/>
    <col min="43" max="64" width="0" style="1" hidden="1" customWidth="1"/>
    <col min="65" max="255" width="7.00390625" style="1" customWidth="1"/>
  </cols>
  <sheetData>
    <row r="2" spans="11:45" ht="36.75" customHeight="1">
      <c r="K2" s="293" t="s">
        <v>4</v>
      </c>
      <c r="L2" s="293"/>
      <c r="M2" s="293"/>
      <c r="N2" s="293"/>
      <c r="O2" s="293"/>
      <c r="P2" s="293"/>
      <c r="Q2" s="293"/>
      <c r="R2" s="293"/>
      <c r="S2" s="293"/>
      <c r="T2" s="293"/>
      <c r="U2" s="293"/>
      <c r="AS2" s="3" t="s">
        <v>81</v>
      </c>
    </row>
    <row r="3" spans="1:45" ht="6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AS3" s="3" t="s">
        <v>73</v>
      </c>
    </row>
    <row r="4" spans="1:45" ht="24.75" customHeight="1">
      <c r="A4" s="6"/>
      <c r="C4" s="7" t="s">
        <v>86</v>
      </c>
      <c r="K4" s="6"/>
      <c r="L4" s="91" t="s">
        <v>8</v>
      </c>
      <c r="AS4" s="3" t="s">
        <v>2</v>
      </c>
    </row>
    <row r="5" spans="1:11" ht="6.75" customHeight="1">
      <c r="A5" s="6"/>
      <c r="K5" s="6"/>
    </row>
    <row r="6" spans="1:11" ht="12" customHeight="1">
      <c r="A6" s="6"/>
      <c r="C6" s="12" t="s">
        <v>12</v>
      </c>
      <c r="K6" s="6"/>
    </row>
    <row r="7" spans="1:11" ht="16.5" customHeight="1">
      <c r="A7" s="6"/>
      <c r="D7" s="319" t="str">
        <f>'Rekapitulácia stavby'!K6</f>
        <v>Revitalizácia vnútroblokov CMZ v meste Žiar nad Hronom, 2. fáza </v>
      </c>
      <c r="E7" s="319"/>
      <c r="F7" s="319"/>
      <c r="G7" s="319"/>
      <c r="K7" s="6"/>
    </row>
    <row r="8" spans="1:30" s="25" customFormat="1" ht="12" customHeight="1">
      <c r="A8" s="24"/>
      <c r="B8" s="23"/>
      <c r="C8" s="12" t="s">
        <v>87</v>
      </c>
      <c r="D8" s="23"/>
      <c r="E8" s="23"/>
      <c r="F8" s="23"/>
      <c r="G8" s="23"/>
      <c r="H8" s="23"/>
      <c r="I8" s="23"/>
      <c r="J8" s="23"/>
      <c r="K8" s="37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s="25" customFormat="1" ht="16.5" customHeight="1">
      <c r="A9" s="24"/>
      <c r="B9" s="23"/>
      <c r="C9" s="23"/>
      <c r="D9" s="306" t="s">
        <v>78</v>
      </c>
      <c r="E9" s="306"/>
      <c r="F9" s="306"/>
      <c r="G9" s="306"/>
      <c r="H9" s="23"/>
      <c r="I9" s="23"/>
      <c r="J9" s="23"/>
      <c r="K9" s="37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s="25" customFormat="1" ht="11.25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37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s="25" customFormat="1" ht="12" customHeight="1">
      <c r="A11" s="24"/>
      <c r="B11" s="23"/>
      <c r="C11" s="12" t="s">
        <v>14</v>
      </c>
      <c r="D11" s="23"/>
      <c r="E11" s="13"/>
      <c r="F11" s="23"/>
      <c r="G11" s="23"/>
      <c r="H11" s="12" t="s">
        <v>15</v>
      </c>
      <c r="I11" s="13"/>
      <c r="J11" s="23"/>
      <c r="K11" s="37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s="25" customFormat="1" ht="12" customHeight="1">
      <c r="A12" s="24"/>
      <c r="B12" s="23"/>
      <c r="C12" s="12" t="s">
        <v>16</v>
      </c>
      <c r="D12" s="23"/>
      <c r="E12" s="13" t="s">
        <v>17</v>
      </c>
      <c r="F12" s="23"/>
      <c r="G12" s="23"/>
      <c r="H12" s="12" t="s">
        <v>18</v>
      </c>
      <c r="I12" s="92">
        <f>'Rekapitulácia stavby'!AN8</f>
        <v>44699</v>
      </c>
      <c r="J12" s="23"/>
      <c r="K12" s="3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s="25" customFormat="1" ht="10.5" customHeight="1">
      <c r="A13" s="24"/>
      <c r="B13" s="23"/>
      <c r="C13" s="23"/>
      <c r="D13" s="23"/>
      <c r="E13" s="23"/>
      <c r="F13" s="23"/>
      <c r="G13" s="23"/>
      <c r="H13" s="23"/>
      <c r="I13" s="23"/>
      <c r="J13" s="23"/>
      <c r="K13" s="3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25" customFormat="1" ht="12" customHeight="1">
      <c r="A14" s="24"/>
      <c r="B14" s="23"/>
      <c r="C14" s="12" t="s">
        <v>19</v>
      </c>
      <c r="D14" s="23"/>
      <c r="E14" s="23"/>
      <c r="F14" s="23"/>
      <c r="G14" s="23"/>
      <c r="H14" s="12" t="s">
        <v>20</v>
      </c>
      <c r="I14" s="13"/>
      <c r="J14" s="23"/>
      <c r="K14" s="37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s="25" customFormat="1" ht="18" customHeight="1">
      <c r="A15" s="24"/>
      <c r="B15" s="23"/>
      <c r="C15" s="23"/>
      <c r="D15" s="13" t="s">
        <v>21</v>
      </c>
      <c r="E15" s="23"/>
      <c r="F15" s="23"/>
      <c r="G15" s="23"/>
      <c r="H15" s="12" t="s">
        <v>22</v>
      </c>
      <c r="I15" s="13"/>
      <c r="J15" s="23"/>
      <c r="K15" s="37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s="25" customFormat="1" ht="6.75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37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s="25" customFormat="1" ht="12" customHeight="1">
      <c r="A17" s="24"/>
      <c r="B17" s="23"/>
      <c r="C17" s="12" t="s">
        <v>23</v>
      </c>
      <c r="D17" s="23"/>
      <c r="E17" s="23"/>
      <c r="F17" s="23"/>
      <c r="G17" s="23"/>
      <c r="H17" s="12" t="s">
        <v>20</v>
      </c>
      <c r="I17" s="16" t="s">
        <v>24</v>
      </c>
      <c r="J17" s="23"/>
      <c r="K17" s="37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25" customFormat="1" ht="18" customHeight="1">
      <c r="A18" s="24"/>
      <c r="B18" s="23"/>
      <c r="C18" s="23"/>
      <c r="D18" s="16" t="s">
        <v>24</v>
      </c>
      <c r="E18" s="10"/>
      <c r="F18" s="10"/>
      <c r="G18" s="10"/>
      <c r="H18" s="12" t="s">
        <v>22</v>
      </c>
      <c r="I18" s="16" t="s">
        <v>24</v>
      </c>
      <c r="J18" s="23"/>
      <c r="K18" s="37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s="25" customFormat="1" ht="6.75" customHeight="1">
      <c r="A19" s="24"/>
      <c r="B19" s="23"/>
      <c r="C19" s="23"/>
      <c r="D19" s="23"/>
      <c r="E19" s="23"/>
      <c r="F19" s="23"/>
      <c r="G19" s="23"/>
      <c r="H19" s="23"/>
      <c r="I19" s="23"/>
      <c r="J19" s="23"/>
      <c r="K19" s="37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s="25" customFormat="1" ht="12" customHeight="1">
      <c r="A20" s="24"/>
      <c r="B20" s="23"/>
      <c r="C20" s="12" t="s">
        <v>25</v>
      </c>
      <c r="D20" s="23"/>
      <c r="E20" s="23"/>
      <c r="F20" s="23"/>
      <c r="G20" s="23"/>
      <c r="H20" s="12" t="s">
        <v>20</v>
      </c>
      <c r="I20" s="18">
        <v>47213043</v>
      </c>
      <c r="J20" s="23"/>
      <c r="K20" s="37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s="25" customFormat="1" ht="18" customHeight="1">
      <c r="A21" s="24"/>
      <c r="B21" s="23"/>
      <c r="C21" s="23"/>
      <c r="D21" s="13" t="str">
        <f>'Rekapitulácia stavby'!E17</f>
        <v>Green Architecture SK, s.r.o.</v>
      </c>
      <c r="E21" s="23"/>
      <c r="F21" s="23"/>
      <c r="G21" s="23"/>
      <c r="H21" s="12" t="s">
        <v>22</v>
      </c>
      <c r="I21" s="19" t="s">
        <v>27</v>
      </c>
      <c r="J21" s="23"/>
      <c r="K21" s="37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s="25" customFormat="1" ht="6.75" customHeight="1">
      <c r="A22" s="24"/>
      <c r="B22" s="23"/>
      <c r="C22" s="23"/>
      <c r="D22" s="23"/>
      <c r="E22" s="23"/>
      <c r="F22" s="23"/>
      <c r="G22" s="23"/>
      <c r="H22" s="23"/>
      <c r="I22" s="23"/>
      <c r="J22" s="23"/>
      <c r="K22" s="37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s="25" customFormat="1" ht="12" customHeight="1">
      <c r="A23" s="24"/>
      <c r="B23" s="23"/>
      <c r="C23" s="12" t="s">
        <v>29</v>
      </c>
      <c r="D23" s="23"/>
      <c r="E23" s="23"/>
      <c r="F23" s="23"/>
      <c r="G23" s="23"/>
      <c r="H23" s="12" t="s">
        <v>20</v>
      </c>
      <c r="I23" s="18">
        <v>47213043</v>
      </c>
      <c r="J23" s="23"/>
      <c r="K23" s="37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s="25" customFormat="1" ht="18" customHeight="1">
      <c r="A24" s="24"/>
      <c r="B24" s="23"/>
      <c r="C24" s="23"/>
      <c r="D24" s="13" t="str">
        <f>'Rekapitulácia stavby'!E20</f>
        <v>Green Architecture SK, s.r.o.</v>
      </c>
      <c r="E24" s="23"/>
      <c r="F24" s="23"/>
      <c r="G24" s="23"/>
      <c r="H24" s="12" t="s">
        <v>22</v>
      </c>
      <c r="I24" s="19" t="s">
        <v>27</v>
      </c>
      <c r="J24" s="23"/>
      <c r="K24" s="37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s="25" customFormat="1" ht="6.75" customHeight="1">
      <c r="A25" s="24"/>
      <c r="B25" s="23"/>
      <c r="C25" s="23"/>
      <c r="D25" s="23"/>
      <c r="E25" s="23"/>
      <c r="F25" s="23"/>
      <c r="G25" s="23"/>
      <c r="H25" s="23"/>
      <c r="I25" s="23"/>
      <c r="J25" s="23"/>
      <c r="K25" s="37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s="25" customFormat="1" ht="12" customHeight="1">
      <c r="A26" s="24"/>
      <c r="B26" s="23"/>
      <c r="C26" s="12" t="s">
        <v>30</v>
      </c>
      <c r="D26" s="23"/>
      <c r="E26" s="23"/>
      <c r="F26" s="23"/>
      <c r="G26" s="23"/>
      <c r="H26" s="23"/>
      <c r="I26" s="23"/>
      <c r="J26" s="23"/>
      <c r="K26" s="37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s="96" customFormat="1" ht="16.5" customHeight="1">
      <c r="A27" s="93"/>
      <c r="B27" s="94"/>
      <c r="C27" s="94"/>
      <c r="D27" s="296"/>
      <c r="E27" s="296"/>
      <c r="F27" s="296"/>
      <c r="G27" s="296"/>
      <c r="H27" s="94"/>
      <c r="I27" s="94"/>
      <c r="J27" s="94"/>
      <c r="K27" s="95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30" s="25" customFormat="1" ht="6.75" customHeight="1">
      <c r="A28" s="24"/>
      <c r="B28" s="23"/>
      <c r="C28" s="23"/>
      <c r="D28" s="23"/>
      <c r="E28" s="23"/>
      <c r="F28" s="23"/>
      <c r="G28" s="23"/>
      <c r="H28" s="23"/>
      <c r="I28" s="23"/>
      <c r="J28" s="23"/>
      <c r="K28" s="37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25" customFormat="1" ht="6.75" customHeight="1">
      <c r="A29" s="24"/>
      <c r="B29" s="23"/>
      <c r="C29" s="63"/>
      <c r="D29" s="63"/>
      <c r="E29" s="63"/>
      <c r="F29" s="63"/>
      <c r="G29" s="63"/>
      <c r="H29" s="63"/>
      <c r="I29" s="63"/>
      <c r="J29" s="63"/>
      <c r="K29" s="37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25" customFormat="1" ht="14.25" customHeight="1">
      <c r="A30" s="24"/>
      <c r="B30" s="23"/>
      <c r="C30" s="13" t="s">
        <v>88</v>
      </c>
      <c r="D30" s="23"/>
      <c r="E30" s="23"/>
      <c r="F30" s="23"/>
      <c r="G30" s="23"/>
      <c r="H30" s="23"/>
      <c r="I30" s="97">
        <f>I96</f>
        <v>624803.28</v>
      </c>
      <c r="J30" s="23"/>
      <c r="K30" s="37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s="25" customFormat="1" ht="14.25" customHeight="1">
      <c r="A31" s="24"/>
      <c r="B31" s="23"/>
      <c r="C31" s="22" t="s">
        <v>89</v>
      </c>
      <c r="D31" s="23"/>
      <c r="E31" s="23"/>
      <c r="F31" s="23"/>
      <c r="G31" s="23"/>
      <c r="H31" s="23"/>
      <c r="I31" s="97">
        <f>I116</f>
        <v>62480.328</v>
      </c>
      <c r="J31" s="23"/>
      <c r="K31" s="37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s="25" customFormat="1" ht="24.75" customHeight="1">
      <c r="A32" s="24"/>
      <c r="B32" s="23"/>
      <c r="C32" s="98" t="s">
        <v>33</v>
      </c>
      <c r="D32" s="23"/>
      <c r="E32" s="23"/>
      <c r="F32" s="23"/>
      <c r="G32" s="23"/>
      <c r="H32" s="23"/>
      <c r="I32" s="99">
        <f>ROUND(I30+I31,2)</f>
        <v>687283.61</v>
      </c>
      <c r="J32" s="23"/>
      <c r="K32" s="37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25" customFormat="1" ht="6.75" customHeight="1">
      <c r="A33" s="24"/>
      <c r="B33" s="23"/>
      <c r="C33" s="63"/>
      <c r="D33" s="63"/>
      <c r="E33" s="63"/>
      <c r="F33" s="63"/>
      <c r="G33" s="63"/>
      <c r="H33" s="63"/>
      <c r="I33" s="63"/>
      <c r="J33" s="63"/>
      <c r="K33" s="37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25" customFormat="1" ht="14.25" customHeight="1">
      <c r="A34" s="24"/>
      <c r="B34" s="23"/>
      <c r="C34" s="23"/>
      <c r="D34" s="23"/>
      <c r="E34" s="100" t="s">
        <v>35</v>
      </c>
      <c r="F34" s="23"/>
      <c r="G34" s="23"/>
      <c r="H34" s="100" t="s">
        <v>34</v>
      </c>
      <c r="I34" s="100" t="s">
        <v>36</v>
      </c>
      <c r="J34" s="23"/>
      <c r="K34" s="37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25" customFormat="1" ht="14.25" customHeight="1">
      <c r="A35" s="24"/>
      <c r="B35" s="23"/>
      <c r="C35" s="101" t="s">
        <v>37</v>
      </c>
      <c r="D35" s="30" t="s">
        <v>38</v>
      </c>
      <c r="E35" s="102">
        <f>ROUND((SUM(BD116:BD117)+SUM(BD137:BD269)),2)</f>
        <v>0</v>
      </c>
      <c r="F35" s="103"/>
      <c r="G35" s="103"/>
      <c r="H35" s="104">
        <v>0.2</v>
      </c>
      <c r="I35" s="102">
        <f>ROUND(((SUM(BD116:BD117)+SUM(BD137:BD269))*H35),2)</f>
        <v>0</v>
      </c>
      <c r="J35" s="23"/>
      <c r="K35" s="37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25" customFormat="1" ht="14.25" customHeight="1">
      <c r="A36" s="24"/>
      <c r="B36" s="23"/>
      <c r="C36" s="23"/>
      <c r="D36" s="30" t="s">
        <v>39</v>
      </c>
      <c r="E36" s="105">
        <f>I32</f>
        <v>687283.61</v>
      </c>
      <c r="F36" s="23"/>
      <c r="G36" s="23"/>
      <c r="H36" s="106">
        <v>0.2</v>
      </c>
      <c r="I36" s="105">
        <f>I41-E36</f>
        <v>137456.72199999995</v>
      </c>
      <c r="J36" s="23"/>
      <c r="K36" s="37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25" customFormat="1" ht="14.25" customHeight="1" hidden="1">
      <c r="A37" s="24"/>
      <c r="B37" s="23"/>
      <c r="C37" s="23"/>
      <c r="D37" s="12" t="s">
        <v>40</v>
      </c>
      <c r="E37" s="105">
        <f>ROUND((SUM(BF116:BF117)+SUM(BF137:BF269)),2)</f>
        <v>0</v>
      </c>
      <c r="F37" s="23"/>
      <c r="G37" s="23"/>
      <c r="H37" s="106">
        <v>0.2</v>
      </c>
      <c r="I37" s="105">
        <f>0</f>
        <v>0</v>
      </c>
      <c r="J37" s="23"/>
      <c r="K37" s="37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25" customFormat="1" ht="14.25" customHeight="1" hidden="1">
      <c r="A38" s="24"/>
      <c r="B38" s="23"/>
      <c r="C38" s="23"/>
      <c r="D38" s="12" t="s">
        <v>41</v>
      </c>
      <c r="E38" s="105">
        <f>ROUND((SUM(BG116:BG117)+SUM(BG137:BG269)),2)</f>
        <v>0</v>
      </c>
      <c r="F38" s="23"/>
      <c r="G38" s="23"/>
      <c r="H38" s="106">
        <v>0.2</v>
      </c>
      <c r="I38" s="105">
        <f>0</f>
        <v>0</v>
      </c>
      <c r="J38" s="23"/>
      <c r="K38" s="37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25" customFormat="1" ht="14.25" customHeight="1" hidden="1">
      <c r="A39" s="24"/>
      <c r="B39" s="23"/>
      <c r="C39" s="23"/>
      <c r="D39" s="30" t="s">
        <v>42</v>
      </c>
      <c r="E39" s="102">
        <f>ROUND((SUM(BH116:BH117)+SUM(BH137:BH269)),2)</f>
        <v>0</v>
      </c>
      <c r="F39" s="103"/>
      <c r="G39" s="103"/>
      <c r="H39" s="104">
        <v>0</v>
      </c>
      <c r="I39" s="102">
        <f>0</f>
        <v>0</v>
      </c>
      <c r="J39" s="23"/>
      <c r="K39" s="3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25" customFormat="1" ht="6.75" customHeight="1">
      <c r="A40" s="24"/>
      <c r="B40" s="23"/>
      <c r="C40" s="23"/>
      <c r="D40" s="23"/>
      <c r="E40" s="23"/>
      <c r="F40" s="23"/>
      <c r="G40" s="23"/>
      <c r="H40" s="23"/>
      <c r="I40" s="23"/>
      <c r="J40" s="23"/>
      <c r="K40" s="3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25" customFormat="1" ht="24.75" customHeight="1">
      <c r="A41" s="24"/>
      <c r="B41" s="89"/>
      <c r="C41" s="107" t="s">
        <v>43</v>
      </c>
      <c r="D41" s="57"/>
      <c r="E41" s="57"/>
      <c r="F41" s="108" t="s">
        <v>44</v>
      </c>
      <c r="G41" s="109" t="s">
        <v>45</v>
      </c>
      <c r="H41" s="57"/>
      <c r="I41" s="110">
        <f>E36*1.2</f>
        <v>824740.3319999999</v>
      </c>
      <c r="J41" s="111"/>
      <c r="K41" s="3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25" customFormat="1" ht="14.25" customHeight="1">
      <c r="A42" s="24"/>
      <c r="B42" s="23"/>
      <c r="C42" s="23"/>
      <c r="D42" s="23"/>
      <c r="E42" s="23"/>
      <c r="F42" s="23"/>
      <c r="G42" s="23"/>
      <c r="H42" s="23"/>
      <c r="I42" s="23"/>
      <c r="J42" s="23"/>
      <c r="K42" s="37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11" ht="14.25" customHeight="1">
      <c r="A43" s="6"/>
      <c r="K43" s="6"/>
    </row>
    <row r="44" spans="1:11" ht="14.25" customHeight="1">
      <c r="A44" s="6"/>
      <c r="K44" s="6"/>
    </row>
    <row r="45" spans="1:11" ht="14.25" customHeight="1">
      <c r="A45" s="6"/>
      <c r="K45" s="6"/>
    </row>
    <row r="46" spans="1:11" ht="14.25" customHeight="1">
      <c r="A46" s="6"/>
      <c r="K46" s="6"/>
    </row>
    <row r="47" spans="1:11" ht="14.25" customHeight="1">
      <c r="A47" s="6"/>
      <c r="K47" s="6"/>
    </row>
    <row r="48" spans="1:11" ht="14.25" customHeight="1">
      <c r="A48" s="6"/>
      <c r="K48" s="6"/>
    </row>
    <row r="49" spans="1:11" ht="14.25" customHeight="1">
      <c r="A49" s="6"/>
      <c r="K49" s="6"/>
    </row>
    <row r="50" spans="1:11" s="25" customFormat="1" ht="14.25" customHeight="1">
      <c r="A50" s="37"/>
      <c r="C50" s="38" t="s">
        <v>46</v>
      </c>
      <c r="D50" s="39"/>
      <c r="E50" s="39"/>
      <c r="F50" s="38" t="s">
        <v>47</v>
      </c>
      <c r="G50" s="39"/>
      <c r="H50" s="39"/>
      <c r="I50" s="39"/>
      <c r="J50" s="39"/>
      <c r="K50" s="37"/>
    </row>
    <row r="51" spans="1:11" ht="12.75">
      <c r="A51" s="6"/>
      <c r="K51" s="6"/>
    </row>
    <row r="52" spans="1:11" ht="12.75">
      <c r="A52" s="6"/>
      <c r="K52" s="6"/>
    </row>
    <row r="53" spans="1:11" ht="12.75">
      <c r="A53" s="6"/>
      <c r="K53" s="6"/>
    </row>
    <row r="54" spans="1:11" ht="12.75">
      <c r="A54" s="6"/>
      <c r="K54" s="6"/>
    </row>
    <row r="55" spans="1:11" ht="12.75">
      <c r="A55" s="6"/>
      <c r="K55" s="6"/>
    </row>
    <row r="56" spans="1:11" ht="12.75">
      <c r="A56" s="6"/>
      <c r="K56" s="6"/>
    </row>
    <row r="57" spans="1:11" ht="12.75">
      <c r="A57" s="6"/>
      <c r="K57" s="6"/>
    </row>
    <row r="58" spans="1:11" ht="12.75">
      <c r="A58" s="6"/>
      <c r="K58" s="6"/>
    </row>
    <row r="59" spans="1:11" ht="12.75">
      <c r="A59" s="6"/>
      <c r="K59" s="6"/>
    </row>
    <row r="60" spans="1:11" ht="12.75">
      <c r="A60" s="6"/>
      <c r="K60" s="6"/>
    </row>
    <row r="61" spans="1:30" s="25" customFormat="1" ht="12.75">
      <c r="A61" s="24"/>
      <c r="B61" s="23"/>
      <c r="C61" s="40" t="s">
        <v>48</v>
      </c>
      <c r="D61" s="27"/>
      <c r="E61" s="112" t="s">
        <v>49</v>
      </c>
      <c r="F61" s="40" t="s">
        <v>48</v>
      </c>
      <c r="G61" s="27"/>
      <c r="H61" s="27"/>
      <c r="I61" s="113" t="s">
        <v>49</v>
      </c>
      <c r="J61" s="27"/>
      <c r="K61" s="3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11" ht="12.75">
      <c r="A62" s="6"/>
      <c r="K62" s="6"/>
    </row>
    <row r="63" spans="1:11" ht="12.75">
      <c r="A63" s="6"/>
      <c r="K63" s="6"/>
    </row>
    <row r="64" spans="1:11" ht="12.75">
      <c r="A64" s="6"/>
      <c r="K64" s="6"/>
    </row>
    <row r="65" spans="1:30" s="25" customFormat="1" ht="12.75">
      <c r="A65" s="24"/>
      <c r="B65" s="23"/>
      <c r="C65" s="38" t="s">
        <v>50</v>
      </c>
      <c r="D65" s="41"/>
      <c r="E65" s="41"/>
      <c r="F65" s="38" t="s">
        <v>51</v>
      </c>
      <c r="G65" s="41"/>
      <c r="H65" s="41"/>
      <c r="I65" s="41"/>
      <c r="J65" s="41"/>
      <c r="K65" s="37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11" ht="12.75">
      <c r="A66" s="6"/>
      <c r="K66" s="6"/>
    </row>
    <row r="67" spans="1:11" ht="12.75">
      <c r="A67" s="6"/>
      <c r="K67" s="6"/>
    </row>
    <row r="68" spans="1:11" ht="12.75">
      <c r="A68" s="6"/>
      <c r="K68" s="6"/>
    </row>
    <row r="69" spans="1:11" ht="12.75">
      <c r="A69" s="6"/>
      <c r="K69" s="6"/>
    </row>
    <row r="70" spans="1:11" ht="12.75">
      <c r="A70" s="6"/>
      <c r="K70" s="6"/>
    </row>
    <row r="71" spans="1:11" ht="12.75">
      <c r="A71" s="6"/>
      <c r="K71" s="6"/>
    </row>
    <row r="72" spans="1:11" ht="12.75">
      <c r="A72" s="6"/>
      <c r="K72" s="6"/>
    </row>
    <row r="73" spans="1:11" ht="12.75">
      <c r="A73" s="6"/>
      <c r="K73" s="6"/>
    </row>
    <row r="74" spans="1:11" ht="12.75">
      <c r="A74" s="6"/>
      <c r="K74" s="6"/>
    </row>
    <row r="75" spans="1:11" ht="12.75">
      <c r="A75" s="6"/>
      <c r="K75" s="6"/>
    </row>
    <row r="76" spans="1:30" s="25" customFormat="1" ht="12.75">
      <c r="A76" s="24"/>
      <c r="B76" s="23"/>
      <c r="C76" s="40" t="s">
        <v>48</v>
      </c>
      <c r="D76" s="27"/>
      <c r="E76" s="112" t="s">
        <v>49</v>
      </c>
      <c r="F76" s="40" t="s">
        <v>48</v>
      </c>
      <c r="G76" s="27"/>
      <c r="H76" s="27"/>
      <c r="I76" s="113" t="s">
        <v>49</v>
      </c>
      <c r="J76" s="27"/>
      <c r="K76" s="37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25" customFormat="1" ht="14.25" customHeigh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37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81" spans="1:30" s="25" customFormat="1" ht="6.75" customHeight="1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37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25" customFormat="1" ht="24.75" customHeight="1">
      <c r="A82" s="24"/>
      <c r="B82" s="7" t="s">
        <v>90</v>
      </c>
      <c r="C82" s="23"/>
      <c r="D82" s="23"/>
      <c r="E82" s="23"/>
      <c r="F82" s="23"/>
      <c r="G82" s="23"/>
      <c r="H82" s="23"/>
      <c r="I82" s="23"/>
      <c r="J82" s="23"/>
      <c r="K82" s="37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25" customFormat="1" ht="6.75" customHeight="1">
      <c r="A83" s="24"/>
      <c r="B83" s="23"/>
      <c r="C83" s="23"/>
      <c r="D83" s="23"/>
      <c r="E83" s="23"/>
      <c r="F83" s="23"/>
      <c r="G83" s="23"/>
      <c r="H83" s="23"/>
      <c r="I83" s="23"/>
      <c r="J83" s="23"/>
      <c r="K83" s="37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s="25" customFormat="1" ht="12" customHeight="1">
      <c r="A84" s="24"/>
      <c r="B84" s="12" t="s">
        <v>12</v>
      </c>
      <c r="C84" s="23"/>
      <c r="D84" s="23"/>
      <c r="E84" s="23"/>
      <c r="F84" s="23"/>
      <c r="G84" s="23"/>
      <c r="H84" s="23"/>
      <c r="I84" s="23"/>
      <c r="J84" s="23"/>
      <c r="K84" s="37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s="25" customFormat="1" ht="16.5" customHeight="1">
      <c r="A85" s="24"/>
      <c r="B85" s="23"/>
      <c r="C85" s="23"/>
      <c r="D85" s="319" t="str">
        <f>D7</f>
        <v>Revitalizácia vnútroblokov CMZ v meste Žiar nad Hronom, 2. fáza </v>
      </c>
      <c r="E85" s="319"/>
      <c r="F85" s="319"/>
      <c r="G85" s="319"/>
      <c r="H85" s="23"/>
      <c r="I85" s="23"/>
      <c r="J85" s="23"/>
      <c r="K85" s="37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s="25" customFormat="1" ht="12" customHeight="1">
      <c r="A86" s="24"/>
      <c r="B86" s="12" t="s">
        <v>87</v>
      </c>
      <c r="C86" s="23"/>
      <c r="D86" s="23"/>
      <c r="E86" s="23"/>
      <c r="F86" s="23"/>
      <c r="G86" s="23"/>
      <c r="H86" s="23"/>
      <c r="I86" s="23"/>
      <c r="J86" s="23"/>
      <c r="K86" s="37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s="25" customFormat="1" ht="16.5" customHeight="1">
      <c r="A87" s="24"/>
      <c r="B87" s="23"/>
      <c r="C87" s="23"/>
      <c r="D87" s="306" t="str">
        <f>D9</f>
        <v>SO-01 Krajinná architektúra</v>
      </c>
      <c r="E87" s="306"/>
      <c r="F87" s="306"/>
      <c r="G87" s="306"/>
      <c r="H87" s="23"/>
      <c r="I87" s="23"/>
      <c r="J87" s="23"/>
      <c r="K87" s="37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s="25" customFormat="1" ht="6.75" customHeight="1">
      <c r="A88" s="24"/>
      <c r="B88" s="23"/>
      <c r="C88" s="23"/>
      <c r="D88" s="23"/>
      <c r="E88" s="23"/>
      <c r="F88" s="23"/>
      <c r="G88" s="23"/>
      <c r="H88" s="23"/>
      <c r="I88" s="23"/>
      <c r="J88" s="23"/>
      <c r="K88" s="37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s="25" customFormat="1" ht="12" customHeight="1">
      <c r="A89" s="24"/>
      <c r="B89" s="12" t="s">
        <v>16</v>
      </c>
      <c r="C89" s="23"/>
      <c r="D89" s="23"/>
      <c r="E89" s="13" t="str">
        <f>E12</f>
        <v> </v>
      </c>
      <c r="F89" s="23"/>
      <c r="G89" s="23"/>
      <c r="H89" s="12" t="s">
        <v>18</v>
      </c>
      <c r="I89" s="92">
        <f>IF(I12="","",I12)</f>
        <v>44699</v>
      </c>
      <c r="J89" s="23"/>
      <c r="K89" s="37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s="25" customFormat="1" ht="6.75" customHeight="1">
      <c r="A90" s="24"/>
      <c r="B90" s="23"/>
      <c r="C90" s="23"/>
      <c r="D90" s="23"/>
      <c r="E90" s="23"/>
      <c r="F90" s="23"/>
      <c r="G90" s="23"/>
      <c r="H90" s="23"/>
      <c r="I90" s="23"/>
      <c r="J90" s="23"/>
      <c r="K90" s="37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s="25" customFormat="1" ht="23.25" customHeight="1">
      <c r="A91" s="24"/>
      <c r="B91" s="12" t="s">
        <v>19</v>
      </c>
      <c r="C91" s="23"/>
      <c r="D91" s="23"/>
      <c r="E91" s="13" t="str">
        <f>D15</f>
        <v>MsÚ Žiar nad Hronom</v>
      </c>
      <c r="F91" s="23"/>
      <c r="G91" s="23"/>
      <c r="H91" s="12" t="s">
        <v>25</v>
      </c>
      <c r="I91" s="114" t="str">
        <f>'Rekapitulácia stavby'!E17</f>
        <v>Green Architecture SK, s.r.o.</v>
      </c>
      <c r="J91" s="23"/>
      <c r="K91" s="37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s="25" customFormat="1" ht="24" customHeight="1">
      <c r="A92" s="24"/>
      <c r="B92" s="12" t="s">
        <v>23</v>
      </c>
      <c r="C92" s="23"/>
      <c r="D92" s="23"/>
      <c r="E92" s="16" t="str">
        <f>IF(D18="","",D18)</f>
        <v>vyplň údaj</v>
      </c>
      <c r="F92" s="23"/>
      <c r="G92" s="23"/>
      <c r="H92" s="12" t="s">
        <v>29</v>
      </c>
      <c r="I92" s="114" t="str">
        <f>'Rekapitulácia stavby'!E20</f>
        <v>Green Architecture SK, s.r.o.</v>
      </c>
      <c r="J92" s="23"/>
      <c r="K92" s="37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s="25" customFormat="1" ht="13.5" customHeight="1">
      <c r="A93" s="24"/>
      <c r="B93" s="23"/>
      <c r="C93" s="23"/>
      <c r="D93" s="23"/>
      <c r="E93" s="23"/>
      <c r="F93" s="23"/>
      <c r="G93" s="23"/>
      <c r="H93" s="23"/>
      <c r="I93" s="23"/>
      <c r="J93" s="23"/>
      <c r="K93" s="37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s="25" customFormat="1" ht="29.25" customHeight="1">
      <c r="A94" s="24"/>
      <c r="B94" s="115" t="s">
        <v>91</v>
      </c>
      <c r="C94" s="89"/>
      <c r="D94" s="89"/>
      <c r="E94" s="89"/>
      <c r="F94" s="89"/>
      <c r="G94" s="89"/>
      <c r="H94" s="89"/>
      <c r="I94" s="116" t="s">
        <v>92</v>
      </c>
      <c r="J94" s="89"/>
      <c r="K94" s="37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s="25" customFormat="1" ht="9.75" customHeight="1">
      <c r="A95" s="24"/>
      <c r="B95" s="23"/>
      <c r="C95" s="23"/>
      <c r="D95" s="23"/>
      <c r="E95" s="23"/>
      <c r="F95" s="23"/>
      <c r="G95" s="23"/>
      <c r="H95" s="23"/>
      <c r="I95" s="23"/>
      <c r="J95" s="23"/>
      <c r="K95" s="37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46" s="25" customFormat="1" ht="22.5" customHeight="1">
      <c r="A96" s="24"/>
      <c r="B96" s="117" t="s">
        <v>93</v>
      </c>
      <c r="C96" s="23"/>
      <c r="D96" s="23"/>
      <c r="E96" s="23"/>
      <c r="F96" s="23"/>
      <c r="G96" s="23"/>
      <c r="H96" s="23"/>
      <c r="I96" s="99">
        <f>I97+I107+I110+I111</f>
        <v>624803.28</v>
      </c>
      <c r="J96" s="23"/>
      <c r="K96" s="37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T96" s="3" t="s">
        <v>94</v>
      </c>
    </row>
    <row r="97" spans="1:11" s="119" customFormat="1" ht="24.75" customHeight="1">
      <c r="A97" s="118"/>
      <c r="C97" s="120" t="s">
        <v>95</v>
      </c>
      <c r="D97" s="121"/>
      <c r="E97" s="121"/>
      <c r="F97" s="121"/>
      <c r="G97" s="121"/>
      <c r="H97" s="121"/>
      <c r="I97" s="122">
        <f>SUM(I98:I106)</f>
        <v>292950.01999999996</v>
      </c>
      <c r="K97" s="118"/>
    </row>
    <row r="98" spans="1:11" s="124" customFormat="1" ht="19.5" customHeight="1">
      <c r="A98" s="123"/>
      <c r="C98" s="125" t="s">
        <v>96</v>
      </c>
      <c r="D98" s="126"/>
      <c r="E98" s="126"/>
      <c r="F98" s="126"/>
      <c r="G98" s="126"/>
      <c r="H98" s="126"/>
      <c r="I98" s="127">
        <f>I139</f>
        <v>113517.06</v>
      </c>
      <c r="K98" s="123"/>
    </row>
    <row r="99" spans="1:11" s="124" customFormat="1" ht="19.5" customHeight="1">
      <c r="A99" s="123"/>
      <c r="C99" s="125" t="s">
        <v>97</v>
      </c>
      <c r="D99" s="126"/>
      <c r="E99" s="126"/>
      <c r="F99" s="126"/>
      <c r="G99" s="126"/>
      <c r="H99" s="126"/>
      <c r="I99" s="127">
        <f>I196</f>
        <v>4974.08</v>
      </c>
      <c r="K99" s="123"/>
    </row>
    <row r="100" spans="1:11" s="124" customFormat="1" ht="19.5" customHeight="1">
      <c r="A100" s="123"/>
      <c r="C100" s="125" t="s">
        <v>98</v>
      </c>
      <c r="D100" s="126"/>
      <c r="E100" s="126"/>
      <c r="F100" s="126"/>
      <c r="G100" s="126"/>
      <c r="H100" s="126"/>
      <c r="I100" s="127">
        <f>I198</f>
        <v>8308</v>
      </c>
      <c r="K100" s="123"/>
    </row>
    <row r="101" spans="1:11" s="124" customFormat="1" ht="19.5" customHeight="1">
      <c r="A101" s="123"/>
      <c r="C101" s="125" t="s">
        <v>99</v>
      </c>
      <c r="D101" s="126"/>
      <c r="E101" s="126"/>
      <c r="F101" s="126"/>
      <c r="G101" s="126"/>
      <c r="H101" s="126"/>
      <c r="I101" s="127">
        <f>I202</f>
        <v>67020.09999999999</v>
      </c>
      <c r="K101" s="123"/>
    </row>
    <row r="102" spans="1:11" s="124" customFormat="1" ht="19.5" customHeight="1">
      <c r="A102" s="123"/>
      <c r="C102" s="125" t="s">
        <v>100</v>
      </c>
      <c r="D102" s="126"/>
      <c r="E102" s="126"/>
      <c r="F102" s="126"/>
      <c r="G102" s="126"/>
      <c r="H102" s="126"/>
      <c r="I102" s="127">
        <f>I221</f>
        <v>12549.12</v>
      </c>
      <c r="K102" s="123"/>
    </row>
    <row r="103" spans="1:11" s="124" customFormat="1" ht="19.5" customHeight="1">
      <c r="A103" s="123"/>
      <c r="C103" s="125" t="s">
        <v>101</v>
      </c>
      <c r="D103" s="126"/>
      <c r="E103" s="126"/>
      <c r="F103" s="126"/>
      <c r="G103" s="126"/>
      <c r="H103" s="126"/>
      <c r="I103" s="127">
        <f>I230</f>
        <v>17672.46</v>
      </c>
      <c r="K103" s="123"/>
    </row>
    <row r="104" spans="1:11" s="124" customFormat="1" ht="19.5" customHeight="1">
      <c r="A104" s="123"/>
      <c r="C104" s="125" t="s">
        <v>102</v>
      </c>
      <c r="D104" s="126"/>
      <c r="E104" s="126"/>
      <c r="F104" s="126"/>
      <c r="G104" s="126"/>
      <c r="H104" s="126"/>
      <c r="I104" s="127">
        <f>I233</f>
        <v>155.8</v>
      </c>
      <c r="K104" s="123"/>
    </row>
    <row r="105" spans="1:11" s="124" customFormat="1" ht="19.5" customHeight="1">
      <c r="A105" s="123"/>
      <c r="C105" s="125" t="s">
        <v>103</v>
      </c>
      <c r="D105" s="126"/>
      <c r="E105" s="126"/>
      <c r="F105" s="126"/>
      <c r="G105" s="126"/>
      <c r="H105" s="126"/>
      <c r="I105" s="127">
        <f>I236</f>
        <v>34176.59</v>
      </c>
      <c r="K105" s="123"/>
    </row>
    <row r="106" spans="1:11" s="124" customFormat="1" ht="19.5" customHeight="1">
      <c r="A106" s="123"/>
      <c r="C106" s="125" t="s">
        <v>104</v>
      </c>
      <c r="D106" s="126"/>
      <c r="E106" s="126"/>
      <c r="F106" s="126"/>
      <c r="G106" s="126"/>
      <c r="H106" s="126"/>
      <c r="I106" s="127">
        <f>I249</f>
        <v>34576.81</v>
      </c>
      <c r="K106" s="123"/>
    </row>
    <row r="107" spans="1:11" s="119" customFormat="1" ht="24.75" customHeight="1">
      <c r="A107" s="118"/>
      <c r="C107" s="120" t="s">
        <v>105</v>
      </c>
      <c r="D107" s="121"/>
      <c r="E107" s="121"/>
      <c r="F107" s="121"/>
      <c r="G107" s="121"/>
      <c r="H107" s="121"/>
      <c r="I107" s="122">
        <f>SUM(I108:I109)</f>
        <v>49800.049999999996</v>
      </c>
      <c r="K107" s="118"/>
    </row>
    <row r="108" spans="1:11" s="124" customFormat="1" ht="19.5" customHeight="1">
      <c r="A108" s="123"/>
      <c r="C108" s="125" t="s">
        <v>106</v>
      </c>
      <c r="D108" s="126"/>
      <c r="E108" s="126"/>
      <c r="F108" s="126"/>
      <c r="G108" s="126"/>
      <c r="H108" s="126"/>
      <c r="I108" s="127">
        <f>I252</f>
        <v>39152.409999999996</v>
      </c>
      <c r="K108" s="123"/>
    </row>
    <row r="109" spans="1:11" s="124" customFormat="1" ht="19.5" customHeight="1">
      <c r="A109" s="123"/>
      <c r="C109" s="128" t="s">
        <v>107</v>
      </c>
      <c r="D109"/>
      <c r="E109" s="126"/>
      <c r="F109" s="126"/>
      <c r="G109" s="126"/>
      <c r="H109" s="126"/>
      <c r="I109" s="127">
        <f>I259</f>
        <v>10647.640000000001</v>
      </c>
      <c r="K109" s="123"/>
    </row>
    <row r="110" spans="1:11" s="119" customFormat="1" ht="24.75" customHeight="1">
      <c r="A110" s="118"/>
      <c r="C110" s="120" t="s">
        <v>108</v>
      </c>
      <c r="D110" s="121"/>
      <c r="E110" s="121"/>
      <c r="F110" s="121"/>
      <c r="G110" s="121"/>
      <c r="H110" s="121"/>
      <c r="I110" s="122">
        <f>I268</f>
        <v>800</v>
      </c>
      <c r="K110" s="118"/>
    </row>
    <row r="111" spans="1:11" s="119" customFormat="1" ht="24.75" customHeight="1">
      <c r="A111" s="118"/>
      <c r="C111" s="120" t="s">
        <v>109</v>
      </c>
      <c r="D111" s="121"/>
      <c r="E111" s="121"/>
      <c r="F111" s="121"/>
      <c r="G111" s="121"/>
      <c r="H111" s="121"/>
      <c r="I111" s="122">
        <f>SUM(I112:I114)</f>
        <v>281253.21</v>
      </c>
      <c r="K111" s="118"/>
    </row>
    <row r="112" spans="1:11" s="124" customFormat="1" ht="19.5" customHeight="1">
      <c r="A112" s="123"/>
      <c r="C112" s="125" t="s">
        <v>110</v>
      </c>
      <c r="D112" s="126"/>
      <c r="E112" s="126"/>
      <c r="F112" s="126"/>
      <c r="G112" s="126"/>
      <c r="H112" s="126"/>
      <c r="I112" s="127">
        <f>I273</f>
        <v>6724.46</v>
      </c>
      <c r="K112" s="123"/>
    </row>
    <row r="113" spans="1:11" s="124" customFormat="1" ht="19.5" customHeight="1">
      <c r="A113" s="123"/>
      <c r="C113" s="125" t="s">
        <v>111</v>
      </c>
      <c r="D113" s="126"/>
      <c r="E113" s="126"/>
      <c r="F113" s="126"/>
      <c r="G113" s="126"/>
      <c r="H113" s="126"/>
      <c r="I113" s="127">
        <f>I287</f>
        <v>273538.75</v>
      </c>
      <c r="K113" s="123"/>
    </row>
    <row r="114" spans="1:30" s="25" customFormat="1" ht="21.75" customHeight="1">
      <c r="A114" s="24"/>
      <c r="B114" s="23"/>
      <c r="C114" s="125" t="s">
        <v>112</v>
      </c>
      <c r="D114" s="126"/>
      <c r="E114" s="126"/>
      <c r="F114" s="126"/>
      <c r="G114" s="126"/>
      <c r="H114" s="126"/>
      <c r="I114" s="127">
        <f>I326</f>
        <v>990</v>
      </c>
      <c r="J114" s="23"/>
      <c r="K114" s="37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s="25" customFormat="1" ht="6.75" customHeight="1">
      <c r="A115" s="24"/>
      <c r="B115" s="23"/>
      <c r="C115" s="23"/>
      <c r="D115" s="23"/>
      <c r="E115" s="23"/>
      <c r="F115" s="23"/>
      <c r="G115" s="23"/>
      <c r="H115" s="23"/>
      <c r="I115" s="23"/>
      <c r="J115" s="23"/>
      <c r="K115" s="37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s="25" customFormat="1" ht="29.25" customHeight="1">
      <c r="A116" s="24"/>
      <c r="B116" s="117" t="s">
        <v>113</v>
      </c>
      <c r="C116" s="23"/>
      <c r="D116" s="23"/>
      <c r="E116" s="23" t="s">
        <v>114</v>
      </c>
      <c r="F116" s="23"/>
      <c r="G116" s="23"/>
      <c r="H116" s="23"/>
      <c r="I116" s="129">
        <f>I96/10</f>
        <v>62480.328</v>
      </c>
      <c r="J116" s="23"/>
      <c r="K116" s="37"/>
      <c r="M116" s="130" t="s">
        <v>37</v>
      </c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s="25" customFormat="1" ht="18" customHeight="1">
      <c r="A117" s="24"/>
      <c r="B117" s="23"/>
      <c r="C117" s="23"/>
      <c r="D117" s="23"/>
      <c r="E117" s="23"/>
      <c r="F117" s="23"/>
      <c r="G117" s="23"/>
      <c r="H117" s="23"/>
      <c r="I117" s="23"/>
      <c r="J117" s="23"/>
      <c r="K117" s="37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s="25" customFormat="1" ht="29.25" customHeight="1">
      <c r="A118" s="24"/>
      <c r="B118" s="88" t="s">
        <v>85</v>
      </c>
      <c r="C118" s="89"/>
      <c r="D118" s="89"/>
      <c r="E118" s="89"/>
      <c r="F118" s="89"/>
      <c r="G118" s="89"/>
      <c r="H118" s="89"/>
      <c r="I118" s="131">
        <f>I96+I116</f>
        <v>687283.608</v>
      </c>
      <c r="J118" s="89"/>
      <c r="K118" s="37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s="25" customFormat="1" ht="6.7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37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3" spans="1:30" s="25" customFormat="1" ht="6.75" customHeight="1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37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s="25" customFormat="1" ht="24.75" customHeight="1">
      <c r="A124" s="24"/>
      <c r="B124" s="7" t="s">
        <v>115</v>
      </c>
      <c r="C124" s="23"/>
      <c r="D124" s="23"/>
      <c r="E124" s="23"/>
      <c r="F124" s="23"/>
      <c r="G124" s="23"/>
      <c r="H124" s="23"/>
      <c r="I124" s="23"/>
      <c r="J124" s="23"/>
      <c r="K124" s="37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s="25" customFormat="1" ht="6.75" customHeight="1">
      <c r="A125" s="24"/>
      <c r="B125" s="23"/>
      <c r="C125" s="23"/>
      <c r="D125" s="23"/>
      <c r="E125" s="23"/>
      <c r="F125" s="23"/>
      <c r="G125" s="23"/>
      <c r="H125" s="23"/>
      <c r="I125" s="23"/>
      <c r="J125" s="23"/>
      <c r="K125" s="37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s="25" customFormat="1" ht="12" customHeight="1">
      <c r="A126" s="24"/>
      <c r="B126" s="12" t="s">
        <v>12</v>
      </c>
      <c r="C126" s="23"/>
      <c r="D126" s="23"/>
      <c r="E126" s="23"/>
      <c r="F126" s="23"/>
      <c r="G126" s="23"/>
      <c r="H126" s="23"/>
      <c r="I126" s="23"/>
      <c r="J126" s="23"/>
      <c r="K126" s="37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s="25" customFormat="1" ht="16.5" customHeight="1">
      <c r="A127" s="24"/>
      <c r="B127" s="23"/>
      <c r="C127" s="23"/>
      <c r="D127" s="319" t="str">
        <f>D7</f>
        <v>Revitalizácia vnútroblokov CMZ v meste Žiar nad Hronom, 2. fáza </v>
      </c>
      <c r="E127" s="319"/>
      <c r="F127" s="319"/>
      <c r="G127" s="319"/>
      <c r="H127" s="23"/>
      <c r="I127" s="23"/>
      <c r="J127" s="23"/>
      <c r="K127" s="37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s="25" customFormat="1" ht="12" customHeight="1">
      <c r="A128" s="24"/>
      <c r="B128" s="12" t="s">
        <v>87</v>
      </c>
      <c r="C128" s="23"/>
      <c r="D128" s="23"/>
      <c r="E128" s="23"/>
      <c r="F128" s="23"/>
      <c r="G128" s="23"/>
      <c r="H128" s="23"/>
      <c r="I128" s="23"/>
      <c r="J128" s="23"/>
      <c r="K128" s="37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s="25" customFormat="1" ht="16.5" customHeight="1">
      <c r="A129" s="24"/>
      <c r="B129" s="23"/>
      <c r="C129" s="23"/>
      <c r="D129" s="306" t="str">
        <f>D9</f>
        <v>SO-01 Krajinná architektúra</v>
      </c>
      <c r="E129" s="306"/>
      <c r="F129" s="306"/>
      <c r="G129" s="306"/>
      <c r="H129" s="23"/>
      <c r="I129" s="23"/>
      <c r="J129" s="23"/>
      <c r="K129" s="37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s="25" customFormat="1" ht="6.75" customHeight="1">
      <c r="A130" s="24"/>
      <c r="B130" s="23"/>
      <c r="C130" s="23"/>
      <c r="D130" s="23"/>
      <c r="E130" s="23"/>
      <c r="F130" s="23"/>
      <c r="G130" s="23"/>
      <c r="H130" s="23"/>
      <c r="I130" s="23"/>
      <c r="J130" s="23"/>
      <c r="K130" s="37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s="25" customFormat="1" ht="12" customHeight="1">
      <c r="A131" s="24"/>
      <c r="B131" s="12" t="s">
        <v>16</v>
      </c>
      <c r="C131" s="23"/>
      <c r="D131" s="23"/>
      <c r="E131" s="13" t="str">
        <f>E12</f>
        <v> </v>
      </c>
      <c r="F131" s="23"/>
      <c r="G131" s="23"/>
      <c r="H131" s="12" t="s">
        <v>18</v>
      </c>
      <c r="I131" s="92">
        <v>44699</v>
      </c>
      <c r="J131" s="23"/>
      <c r="K131" s="37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s="25" customFormat="1" ht="6.75" customHeight="1">
      <c r="A132" s="24"/>
      <c r="B132" s="23"/>
      <c r="C132" s="23"/>
      <c r="D132" s="23"/>
      <c r="E132" s="23"/>
      <c r="F132" s="23"/>
      <c r="G132" s="23"/>
      <c r="H132" s="23"/>
      <c r="I132" s="23"/>
      <c r="J132" s="23"/>
      <c r="K132" s="37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s="25" customFormat="1" ht="27.75" customHeight="1">
      <c r="A133" s="24"/>
      <c r="B133" s="12" t="s">
        <v>19</v>
      </c>
      <c r="C133" s="23"/>
      <c r="D133" s="23"/>
      <c r="E133" s="13" t="str">
        <f>D15</f>
        <v>MsÚ Žiar nad Hronom</v>
      </c>
      <c r="F133" s="23"/>
      <c r="G133" s="23"/>
      <c r="H133" s="12" t="s">
        <v>25</v>
      </c>
      <c r="I133" s="114" t="s">
        <v>26</v>
      </c>
      <c r="J133" s="23"/>
      <c r="K133" s="37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s="25" customFormat="1" ht="24.75" customHeight="1">
      <c r="A134" s="24"/>
      <c r="B134" s="12" t="s">
        <v>23</v>
      </c>
      <c r="C134" s="23"/>
      <c r="D134" s="23"/>
      <c r="E134" s="16" t="str">
        <f>IF(D18="","",D18)</f>
        <v>vyplň údaj</v>
      </c>
      <c r="F134" s="23"/>
      <c r="G134" s="23"/>
      <c r="H134" s="12" t="s">
        <v>29</v>
      </c>
      <c r="I134" s="114" t="str">
        <f>'Rekapitulácia stavby'!E20</f>
        <v>Green Architecture SK, s.r.o.</v>
      </c>
      <c r="J134" s="23"/>
      <c r="K134" s="37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s="25" customFormat="1" ht="9.75" customHeight="1">
      <c r="A135" s="24"/>
      <c r="B135" s="23"/>
      <c r="C135" s="23"/>
      <c r="D135" s="23"/>
      <c r="E135" s="23"/>
      <c r="F135" s="23"/>
      <c r="G135" s="23"/>
      <c r="H135" s="23"/>
      <c r="I135" s="23"/>
      <c r="J135" s="23"/>
      <c r="K135" s="37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s="139" customFormat="1" ht="29.25" customHeight="1">
      <c r="A136" s="132"/>
      <c r="B136" s="133" t="s">
        <v>116</v>
      </c>
      <c r="C136" s="134" t="s">
        <v>58</v>
      </c>
      <c r="D136" s="134" t="s">
        <v>54</v>
      </c>
      <c r="E136" s="134" t="s">
        <v>55</v>
      </c>
      <c r="F136" s="134" t="s">
        <v>117</v>
      </c>
      <c r="G136" s="134" t="s">
        <v>118</v>
      </c>
      <c r="H136" s="134" t="s">
        <v>119</v>
      </c>
      <c r="I136" s="135" t="s">
        <v>92</v>
      </c>
      <c r="J136" s="136" t="s">
        <v>120</v>
      </c>
      <c r="K136" s="137"/>
      <c r="L136" s="59"/>
      <c r="M136" s="60" t="s">
        <v>37</v>
      </c>
      <c r="N136" s="60" t="s">
        <v>121</v>
      </c>
      <c r="O136" s="60" t="s">
        <v>122</v>
      </c>
      <c r="P136" s="60" t="s">
        <v>123</v>
      </c>
      <c r="Q136" s="60" t="s">
        <v>124</v>
      </c>
      <c r="R136" s="60" t="s">
        <v>125</v>
      </c>
      <c r="S136" s="61" t="s">
        <v>126</v>
      </c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</row>
    <row r="137" spans="1:62" s="25" customFormat="1" ht="22.5" customHeight="1">
      <c r="A137" s="24"/>
      <c r="B137" s="67" t="s">
        <v>88</v>
      </c>
      <c r="C137" s="23"/>
      <c r="D137" s="23"/>
      <c r="E137" s="23"/>
      <c r="F137" s="23"/>
      <c r="G137" s="23"/>
      <c r="H137" s="23"/>
      <c r="I137" s="140">
        <f>I138+I251+I268+I272</f>
        <v>613705.6399999999</v>
      </c>
      <c r="J137" s="23"/>
      <c r="K137" s="24"/>
      <c r="L137" s="62"/>
      <c r="M137" s="52"/>
      <c r="N137" s="63"/>
      <c r="O137" s="141" t="e">
        <f>O138+O251+O268</f>
        <v>#REF!</v>
      </c>
      <c r="P137" s="63"/>
      <c r="Q137" s="141" t="e">
        <f>Q138+Q251+Q268</f>
        <v>#REF!</v>
      </c>
      <c r="R137" s="63"/>
      <c r="S137" s="142" t="e">
        <f>S138+S251+S268</f>
        <v>#REF!</v>
      </c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S137" s="3" t="s">
        <v>72</v>
      </c>
      <c r="AT137" s="3" t="s">
        <v>94</v>
      </c>
      <c r="BJ137" s="143" t="e">
        <f>BJ138+BJ251+BJ268</f>
        <v>#REF!</v>
      </c>
    </row>
    <row r="138" spans="1:62" s="145" customFormat="1" ht="25.5" customHeight="1">
      <c r="A138" s="144"/>
      <c r="C138" s="146" t="s">
        <v>72</v>
      </c>
      <c r="D138" s="147" t="s">
        <v>127</v>
      </c>
      <c r="E138" s="147" t="s">
        <v>128</v>
      </c>
      <c r="I138" s="148">
        <f>I139+++++++I196+I198+I202+I221+I230+I233+I236+I249</f>
        <v>292950.01999999996</v>
      </c>
      <c r="K138" s="144"/>
      <c r="L138" s="149"/>
      <c r="M138" s="150"/>
      <c r="N138" s="150"/>
      <c r="O138" s="151" t="e">
        <f>O139+O196+O198+O202+O221+#REF!+O230+O233+O236+O249</f>
        <v>#REF!</v>
      </c>
      <c r="P138" s="150"/>
      <c r="Q138" s="151" t="e">
        <f>Q139+Q196+Q198+Q202+Q221+#REF!+Q230+Q233+Q236+Q249</f>
        <v>#REF!</v>
      </c>
      <c r="R138" s="150"/>
      <c r="S138" s="152" t="e">
        <f>S139+S196+S198+S202+S221+#REF!+S230+S233+S236+S249</f>
        <v>#REF!</v>
      </c>
      <c r="AQ138" s="146" t="s">
        <v>80</v>
      </c>
      <c r="AS138" s="153" t="s">
        <v>72</v>
      </c>
      <c r="AT138" s="153" t="s">
        <v>73</v>
      </c>
      <c r="AX138" s="146" t="s">
        <v>129</v>
      </c>
      <c r="BJ138" s="154" t="e">
        <f>BJ139+BJ196+BJ198+BJ202+BJ221+#REF!+BJ230+BJ233+BJ236+BJ249</f>
        <v>#REF!</v>
      </c>
    </row>
    <row r="139" spans="1:62" s="156" customFormat="1" ht="22.5" customHeight="1">
      <c r="A139" s="155"/>
      <c r="C139" s="157" t="s">
        <v>72</v>
      </c>
      <c r="D139" s="158" t="s">
        <v>80</v>
      </c>
      <c r="E139" s="158" t="s">
        <v>130</v>
      </c>
      <c r="I139" s="159">
        <f>SUBTOTAL(9,I140:I191)</f>
        <v>113517.06</v>
      </c>
      <c r="K139" s="155"/>
      <c r="L139" s="160"/>
      <c r="M139" s="161"/>
      <c r="N139" s="161"/>
      <c r="O139" s="162">
        <f>SUM(O146:O195)</f>
        <v>5185.798120000001</v>
      </c>
      <c r="P139" s="161"/>
      <c r="Q139" s="162">
        <f>SUM(Q146:Q195)</f>
        <v>150.09824</v>
      </c>
      <c r="R139" s="161"/>
      <c r="S139" s="163">
        <f>SUM(S146:S195)</f>
        <v>1040</v>
      </c>
      <c r="AQ139" s="157" t="s">
        <v>80</v>
      </c>
      <c r="AS139" s="164" t="s">
        <v>72</v>
      </c>
      <c r="AT139" s="164" t="s">
        <v>80</v>
      </c>
      <c r="AX139" s="157" t="s">
        <v>129</v>
      </c>
      <c r="BJ139" s="165">
        <f>SUM(BJ146:BJ195)</f>
        <v>130647.70000000001</v>
      </c>
    </row>
    <row r="140" spans="1:64" s="180" customFormat="1" ht="24" customHeight="1">
      <c r="A140" s="166"/>
      <c r="B140" s="167" t="s">
        <v>80</v>
      </c>
      <c r="C140" s="167" t="s">
        <v>131</v>
      </c>
      <c r="D140" s="168" t="s">
        <v>132</v>
      </c>
      <c r="E140" s="169" t="s">
        <v>133</v>
      </c>
      <c r="F140" s="170" t="s">
        <v>134</v>
      </c>
      <c r="G140" s="171">
        <v>1</v>
      </c>
      <c r="H140" s="172">
        <v>599.3</v>
      </c>
      <c r="I140" s="172">
        <f aca="true" t="shared" si="0" ref="I140:I171">ROUND(H140*G140,2)</f>
        <v>599.3</v>
      </c>
      <c r="J140" s="173"/>
      <c r="K140" s="174"/>
      <c r="L140" s="175"/>
      <c r="M140" s="176" t="s">
        <v>39</v>
      </c>
      <c r="N140" s="177">
        <v>0.9870000000000002</v>
      </c>
      <c r="O140" s="177">
        <f aca="true" t="shared" si="1" ref="O140:O167">N140*G140</f>
        <v>0.9870000000000002</v>
      </c>
      <c r="P140" s="177">
        <v>0</v>
      </c>
      <c r="Q140" s="177">
        <f aca="true" t="shared" si="2" ref="Q140:Q167">P140*G140</f>
        <v>0</v>
      </c>
      <c r="R140" s="177">
        <v>0</v>
      </c>
      <c r="S140" s="178">
        <f aca="true" t="shared" si="3" ref="S140:S167">R140*G140</f>
        <v>0</v>
      </c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Q140" s="181" t="s">
        <v>135</v>
      </c>
      <c r="AS140" s="181" t="s">
        <v>131</v>
      </c>
      <c r="AT140" s="181" t="s">
        <v>136</v>
      </c>
      <c r="AX140" s="182" t="s">
        <v>129</v>
      </c>
      <c r="BD140" s="183">
        <f aca="true" t="shared" si="4" ref="BD140:BD167">IF(M140="základná",I140,0)</f>
        <v>0</v>
      </c>
      <c r="BE140" s="183">
        <f aca="true" t="shared" si="5" ref="BE140:BE167">IF(M140="znížená",I140,0)</f>
        <v>599.3</v>
      </c>
      <c r="BF140" s="183">
        <f aca="true" t="shared" si="6" ref="BF140:BF167">IF(M140="zákl. prenesená",I140,0)</f>
        <v>0</v>
      </c>
      <c r="BG140" s="183">
        <f aca="true" t="shared" si="7" ref="BG140:BG167">IF(M140="zníž. prenesená",I140,0)</f>
        <v>0</v>
      </c>
      <c r="BH140" s="183">
        <f aca="true" t="shared" si="8" ref="BH140:BH167">IF(M140="nulová",I140,0)</f>
        <v>0</v>
      </c>
      <c r="BI140" s="182" t="s">
        <v>136</v>
      </c>
      <c r="BJ140" s="183">
        <f aca="true" t="shared" si="9" ref="BJ140:BJ167">ROUND(H140*G140,2)</f>
        <v>599.3</v>
      </c>
      <c r="BK140" s="182" t="s">
        <v>135</v>
      </c>
      <c r="BL140" s="181" t="s">
        <v>137</v>
      </c>
    </row>
    <row r="141" spans="1:64" s="180" customFormat="1" ht="24" customHeight="1">
      <c r="A141" s="166"/>
      <c r="B141" s="167">
        <f aca="true" t="shared" si="10" ref="B141:B172">B140+1</f>
        <v>2</v>
      </c>
      <c r="C141" s="167" t="s">
        <v>131</v>
      </c>
      <c r="D141" s="168" t="s">
        <v>138</v>
      </c>
      <c r="E141" s="169" t="s">
        <v>139</v>
      </c>
      <c r="F141" s="170" t="s">
        <v>134</v>
      </c>
      <c r="G141" s="171">
        <f>G140</f>
        <v>1</v>
      </c>
      <c r="H141" s="172">
        <v>1031</v>
      </c>
      <c r="I141" s="172">
        <f t="shared" si="0"/>
        <v>1031</v>
      </c>
      <c r="J141" s="173"/>
      <c r="K141" s="174"/>
      <c r="L141" s="175"/>
      <c r="M141" s="176" t="s">
        <v>39</v>
      </c>
      <c r="N141" s="177">
        <v>1.387</v>
      </c>
      <c r="O141" s="177">
        <f t="shared" si="1"/>
        <v>1.387</v>
      </c>
      <c r="P141" s="177">
        <v>0</v>
      </c>
      <c r="Q141" s="177">
        <f t="shared" si="2"/>
        <v>0</v>
      </c>
      <c r="R141" s="177">
        <v>0</v>
      </c>
      <c r="S141" s="178">
        <f t="shared" si="3"/>
        <v>0</v>
      </c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Q141" s="181" t="s">
        <v>135</v>
      </c>
      <c r="AS141" s="181" t="s">
        <v>131</v>
      </c>
      <c r="AT141" s="181" t="s">
        <v>136</v>
      </c>
      <c r="AX141" s="182" t="s">
        <v>129</v>
      </c>
      <c r="BD141" s="183">
        <f t="shared" si="4"/>
        <v>0</v>
      </c>
      <c r="BE141" s="183">
        <f t="shared" si="5"/>
        <v>1031</v>
      </c>
      <c r="BF141" s="183">
        <f t="shared" si="6"/>
        <v>0</v>
      </c>
      <c r="BG141" s="183">
        <f t="shared" si="7"/>
        <v>0</v>
      </c>
      <c r="BH141" s="183">
        <f t="shared" si="8"/>
        <v>0</v>
      </c>
      <c r="BI141" s="182" t="s">
        <v>136</v>
      </c>
      <c r="BJ141" s="183">
        <f t="shared" si="9"/>
        <v>1031</v>
      </c>
      <c r="BK141" s="182" t="s">
        <v>135</v>
      </c>
      <c r="BL141" s="181" t="s">
        <v>140</v>
      </c>
    </row>
    <row r="142" spans="1:64" s="180" customFormat="1" ht="24" customHeight="1">
      <c r="A142" s="166"/>
      <c r="B142" s="167">
        <f t="shared" si="10"/>
        <v>3</v>
      </c>
      <c r="C142" s="167" t="s">
        <v>131</v>
      </c>
      <c r="D142" s="168" t="s">
        <v>141</v>
      </c>
      <c r="E142" s="169" t="s">
        <v>142</v>
      </c>
      <c r="F142" s="170" t="s">
        <v>134</v>
      </c>
      <c r="G142" s="171">
        <f>G140</f>
        <v>1</v>
      </c>
      <c r="H142" s="172">
        <v>428.63</v>
      </c>
      <c r="I142" s="172">
        <f t="shared" si="0"/>
        <v>428.63</v>
      </c>
      <c r="J142" s="173"/>
      <c r="K142" s="174"/>
      <c r="L142" s="175"/>
      <c r="M142" s="176" t="s">
        <v>39</v>
      </c>
      <c r="N142" s="177">
        <v>1.36</v>
      </c>
      <c r="O142" s="177">
        <f t="shared" si="1"/>
        <v>1.36</v>
      </c>
      <c r="P142" s="177">
        <v>0</v>
      </c>
      <c r="Q142" s="177">
        <f t="shared" si="2"/>
        <v>0</v>
      </c>
      <c r="R142" s="177">
        <v>0</v>
      </c>
      <c r="S142" s="178">
        <f t="shared" si="3"/>
        <v>0</v>
      </c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Q142" s="181" t="s">
        <v>135</v>
      </c>
      <c r="AS142" s="181" t="s">
        <v>131</v>
      </c>
      <c r="AT142" s="181" t="s">
        <v>136</v>
      </c>
      <c r="AX142" s="182" t="s">
        <v>129</v>
      </c>
      <c r="BD142" s="183">
        <f t="shared" si="4"/>
        <v>0</v>
      </c>
      <c r="BE142" s="183">
        <f t="shared" si="5"/>
        <v>428.63</v>
      </c>
      <c r="BF142" s="183">
        <f t="shared" si="6"/>
        <v>0</v>
      </c>
      <c r="BG142" s="183">
        <f t="shared" si="7"/>
        <v>0</v>
      </c>
      <c r="BH142" s="183">
        <f t="shared" si="8"/>
        <v>0</v>
      </c>
      <c r="BI142" s="182" t="s">
        <v>136</v>
      </c>
      <c r="BJ142" s="183">
        <f t="shared" si="9"/>
        <v>428.63</v>
      </c>
      <c r="BK142" s="182" t="s">
        <v>135</v>
      </c>
      <c r="BL142" s="181" t="s">
        <v>143</v>
      </c>
    </row>
    <row r="143" spans="1:64" s="180" customFormat="1" ht="24" customHeight="1">
      <c r="A143" s="166"/>
      <c r="B143" s="167">
        <f t="shared" si="10"/>
        <v>4</v>
      </c>
      <c r="C143" s="167" t="s">
        <v>131</v>
      </c>
      <c r="D143" s="168" t="s">
        <v>144</v>
      </c>
      <c r="E143" s="169" t="s">
        <v>145</v>
      </c>
      <c r="F143" s="170" t="s">
        <v>134</v>
      </c>
      <c r="G143" s="171">
        <v>1</v>
      </c>
      <c r="H143" s="172">
        <v>276.19</v>
      </c>
      <c r="I143" s="172">
        <f t="shared" si="0"/>
        <v>276.19</v>
      </c>
      <c r="J143" s="173"/>
      <c r="K143" s="174"/>
      <c r="L143" s="175"/>
      <c r="M143" s="176" t="s">
        <v>39</v>
      </c>
      <c r="N143" s="177">
        <v>0.9870000000000002</v>
      </c>
      <c r="O143" s="177">
        <f t="shared" si="1"/>
        <v>0.9870000000000002</v>
      </c>
      <c r="P143" s="177">
        <v>0</v>
      </c>
      <c r="Q143" s="177">
        <f t="shared" si="2"/>
        <v>0</v>
      </c>
      <c r="R143" s="177">
        <v>0</v>
      </c>
      <c r="S143" s="178">
        <f t="shared" si="3"/>
        <v>0</v>
      </c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Q143" s="181" t="s">
        <v>135</v>
      </c>
      <c r="AS143" s="181" t="s">
        <v>131</v>
      </c>
      <c r="AT143" s="181" t="s">
        <v>136</v>
      </c>
      <c r="AX143" s="182" t="s">
        <v>129</v>
      </c>
      <c r="BD143" s="183">
        <f t="shared" si="4"/>
        <v>0</v>
      </c>
      <c r="BE143" s="183">
        <f t="shared" si="5"/>
        <v>276.19</v>
      </c>
      <c r="BF143" s="183">
        <f t="shared" si="6"/>
        <v>0</v>
      </c>
      <c r="BG143" s="183">
        <f t="shared" si="7"/>
        <v>0</v>
      </c>
      <c r="BH143" s="183">
        <f t="shared" si="8"/>
        <v>0</v>
      </c>
      <c r="BI143" s="182" t="s">
        <v>136</v>
      </c>
      <c r="BJ143" s="183">
        <f t="shared" si="9"/>
        <v>276.19</v>
      </c>
      <c r="BK143" s="182" t="s">
        <v>135</v>
      </c>
      <c r="BL143" s="181" t="s">
        <v>137</v>
      </c>
    </row>
    <row r="144" spans="1:64" s="180" customFormat="1" ht="24" customHeight="1">
      <c r="A144" s="166"/>
      <c r="B144" s="167">
        <f t="shared" si="10"/>
        <v>5</v>
      </c>
      <c r="C144" s="167" t="s">
        <v>131</v>
      </c>
      <c r="D144" s="168" t="s">
        <v>146</v>
      </c>
      <c r="E144" s="169" t="s">
        <v>147</v>
      </c>
      <c r="F144" s="170" t="s">
        <v>134</v>
      </c>
      <c r="G144" s="171">
        <f>G143</f>
        <v>1</v>
      </c>
      <c r="H144" s="172">
        <v>35.46</v>
      </c>
      <c r="I144" s="172">
        <f t="shared" si="0"/>
        <v>35.46</v>
      </c>
      <c r="J144" s="173"/>
      <c r="K144" s="174"/>
      <c r="L144" s="175"/>
      <c r="M144" s="176" t="s">
        <v>39</v>
      </c>
      <c r="N144" s="177">
        <v>1.387</v>
      </c>
      <c r="O144" s="177">
        <f t="shared" si="1"/>
        <v>1.387</v>
      </c>
      <c r="P144" s="177">
        <v>0</v>
      </c>
      <c r="Q144" s="177">
        <f t="shared" si="2"/>
        <v>0</v>
      </c>
      <c r="R144" s="177">
        <v>0</v>
      </c>
      <c r="S144" s="178">
        <f t="shared" si="3"/>
        <v>0</v>
      </c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Q144" s="181" t="s">
        <v>135</v>
      </c>
      <c r="AS144" s="181" t="s">
        <v>131</v>
      </c>
      <c r="AT144" s="181" t="s">
        <v>136</v>
      </c>
      <c r="AX144" s="182" t="s">
        <v>129</v>
      </c>
      <c r="BD144" s="183">
        <f t="shared" si="4"/>
        <v>0</v>
      </c>
      <c r="BE144" s="183">
        <f t="shared" si="5"/>
        <v>35.46</v>
      </c>
      <c r="BF144" s="183">
        <f t="shared" si="6"/>
        <v>0</v>
      </c>
      <c r="BG144" s="183">
        <f t="shared" si="7"/>
        <v>0</v>
      </c>
      <c r="BH144" s="183">
        <f t="shared" si="8"/>
        <v>0</v>
      </c>
      <c r="BI144" s="182" t="s">
        <v>136</v>
      </c>
      <c r="BJ144" s="183">
        <f t="shared" si="9"/>
        <v>35.46</v>
      </c>
      <c r="BK144" s="182" t="s">
        <v>135</v>
      </c>
      <c r="BL144" s="181" t="s">
        <v>140</v>
      </c>
    </row>
    <row r="145" spans="1:64" s="180" customFormat="1" ht="24" customHeight="1">
      <c r="A145" s="166"/>
      <c r="B145" s="167">
        <f t="shared" si="10"/>
        <v>6</v>
      </c>
      <c r="C145" s="167" t="s">
        <v>131</v>
      </c>
      <c r="D145" s="168" t="s">
        <v>148</v>
      </c>
      <c r="E145" s="169" t="s">
        <v>149</v>
      </c>
      <c r="F145" s="170" t="s">
        <v>134</v>
      </c>
      <c r="G145" s="171">
        <f>G143</f>
        <v>1</v>
      </c>
      <c r="H145" s="172">
        <v>19.18</v>
      </c>
      <c r="I145" s="172">
        <f t="shared" si="0"/>
        <v>19.18</v>
      </c>
      <c r="J145" s="173"/>
      <c r="K145" s="174"/>
      <c r="L145" s="175"/>
      <c r="M145" s="176" t="s">
        <v>39</v>
      </c>
      <c r="N145" s="177">
        <v>1.36</v>
      </c>
      <c r="O145" s="177">
        <f t="shared" si="1"/>
        <v>1.36</v>
      </c>
      <c r="P145" s="177">
        <v>0</v>
      </c>
      <c r="Q145" s="177">
        <f t="shared" si="2"/>
        <v>0</v>
      </c>
      <c r="R145" s="177">
        <v>0</v>
      </c>
      <c r="S145" s="178">
        <f t="shared" si="3"/>
        <v>0</v>
      </c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Q145" s="181" t="s">
        <v>135</v>
      </c>
      <c r="AS145" s="181" t="s">
        <v>131</v>
      </c>
      <c r="AT145" s="181" t="s">
        <v>136</v>
      </c>
      <c r="AX145" s="182" t="s">
        <v>129</v>
      </c>
      <c r="BD145" s="183">
        <f t="shared" si="4"/>
        <v>0</v>
      </c>
      <c r="BE145" s="183">
        <f t="shared" si="5"/>
        <v>19.18</v>
      </c>
      <c r="BF145" s="183">
        <f t="shared" si="6"/>
        <v>0</v>
      </c>
      <c r="BG145" s="183">
        <f t="shared" si="7"/>
        <v>0</v>
      </c>
      <c r="BH145" s="183">
        <f t="shared" si="8"/>
        <v>0</v>
      </c>
      <c r="BI145" s="182" t="s">
        <v>136</v>
      </c>
      <c r="BJ145" s="183">
        <f t="shared" si="9"/>
        <v>19.18</v>
      </c>
      <c r="BK145" s="182" t="s">
        <v>135</v>
      </c>
      <c r="BL145" s="181" t="s">
        <v>143</v>
      </c>
    </row>
    <row r="146" spans="1:64" s="180" customFormat="1" ht="24" customHeight="1">
      <c r="A146" s="166"/>
      <c r="B146" s="167">
        <f t="shared" si="10"/>
        <v>7</v>
      </c>
      <c r="C146" s="167" t="s">
        <v>131</v>
      </c>
      <c r="D146" s="168" t="s">
        <v>150</v>
      </c>
      <c r="E146" s="169" t="s">
        <v>151</v>
      </c>
      <c r="F146" s="170" t="s">
        <v>134</v>
      </c>
      <c r="G146" s="171">
        <v>1</v>
      </c>
      <c r="H146" s="172">
        <v>176.89</v>
      </c>
      <c r="I146" s="172">
        <f t="shared" si="0"/>
        <v>176.89</v>
      </c>
      <c r="J146" s="173"/>
      <c r="K146" s="174"/>
      <c r="L146" s="175"/>
      <c r="M146" s="176" t="s">
        <v>39</v>
      </c>
      <c r="N146" s="177">
        <v>0.9870000000000002</v>
      </c>
      <c r="O146" s="177">
        <f t="shared" si="1"/>
        <v>0.9870000000000002</v>
      </c>
      <c r="P146" s="177">
        <v>0</v>
      </c>
      <c r="Q146" s="177">
        <f t="shared" si="2"/>
        <v>0</v>
      </c>
      <c r="R146" s="177">
        <v>0</v>
      </c>
      <c r="S146" s="178">
        <f t="shared" si="3"/>
        <v>0</v>
      </c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Q146" s="181" t="s">
        <v>135</v>
      </c>
      <c r="AS146" s="181" t="s">
        <v>131</v>
      </c>
      <c r="AT146" s="181" t="s">
        <v>136</v>
      </c>
      <c r="AX146" s="182" t="s">
        <v>129</v>
      </c>
      <c r="BD146" s="183">
        <f t="shared" si="4"/>
        <v>0</v>
      </c>
      <c r="BE146" s="183">
        <f t="shared" si="5"/>
        <v>176.89</v>
      </c>
      <c r="BF146" s="183">
        <f t="shared" si="6"/>
        <v>0</v>
      </c>
      <c r="BG146" s="183">
        <f t="shared" si="7"/>
        <v>0</v>
      </c>
      <c r="BH146" s="183">
        <f t="shared" si="8"/>
        <v>0</v>
      </c>
      <c r="BI146" s="182" t="s">
        <v>136</v>
      </c>
      <c r="BJ146" s="183">
        <f t="shared" si="9"/>
        <v>176.89</v>
      </c>
      <c r="BK146" s="182" t="s">
        <v>135</v>
      </c>
      <c r="BL146" s="181" t="s">
        <v>137</v>
      </c>
    </row>
    <row r="147" spans="1:64" s="180" customFormat="1" ht="24" customHeight="1">
      <c r="A147" s="166"/>
      <c r="B147" s="167">
        <f t="shared" si="10"/>
        <v>8</v>
      </c>
      <c r="C147" s="167" t="s">
        <v>131</v>
      </c>
      <c r="D147" s="168" t="s">
        <v>152</v>
      </c>
      <c r="E147" s="169" t="s">
        <v>153</v>
      </c>
      <c r="F147" s="170" t="s">
        <v>134</v>
      </c>
      <c r="G147" s="171">
        <f>G146</f>
        <v>1</v>
      </c>
      <c r="H147" s="172">
        <v>117.11</v>
      </c>
      <c r="I147" s="172">
        <f t="shared" si="0"/>
        <v>117.11</v>
      </c>
      <c r="J147" s="173"/>
      <c r="K147" s="174"/>
      <c r="L147" s="175"/>
      <c r="M147" s="176" t="s">
        <v>39</v>
      </c>
      <c r="N147" s="177">
        <v>1.387</v>
      </c>
      <c r="O147" s="177">
        <f t="shared" si="1"/>
        <v>1.387</v>
      </c>
      <c r="P147" s="177">
        <v>0</v>
      </c>
      <c r="Q147" s="177">
        <f t="shared" si="2"/>
        <v>0</v>
      </c>
      <c r="R147" s="177">
        <v>0</v>
      </c>
      <c r="S147" s="178">
        <f t="shared" si="3"/>
        <v>0</v>
      </c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Q147" s="181" t="s">
        <v>135</v>
      </c>
      <c r="AS147" s="181" t="s">
        <v>131</v>
      </c>
      <c r="AT147" s="181" t="s">
        <v>136</v>
      </c>
      <c r="AX147" s="182" t="s">
        <v>129</v>
      </c>
      <c r="BD147" s="183">
        <f t="shared" si="4"/>
        <v>0</v>
      </c>
      <c r="BE147" s="183">
        <f t="shared" si="5"/>
        <v>117.11</v>
      </c>
      <c r="BF147" s="183">
        <f t="shared" si="6"/>
        <v>0</v>
      </c>
      <c r="BG147" s="183">
        <f t="shared" si="7"/>
        <v>0</v>
      </c>
      <c r="BH147" s="183">
        <f t="shared" si="8"/>
        <v>0</v>
      </c>
      <c r="BI147" s="182" t="s">
        <v>136</v>
      </c>
      <c r="BJ147" s="183">
        <f t="shared" si="9"/>
        <v>117.11</v>
      </c>
      <c r="BK147" s="182" t="s">
        <v>135</v>
      </c>
      <c r="BL147" s="181" t="s">
        <v>140</v>
      </c>
    </row>
    <row r="148" spans="1:64" s="180" customFormat="1" ht="24" customHeight="1">
      <c r="A148" s="166"/>
      <c r="B148" s="167">
        <f t="shared" si="10"/>
        <v>9</v>
      </c>
      <c r="C148" s="167" t="s">
        <v>131</v>
      </c>
      <c r="D148" s="168" t="s">
        <v>154</v>
      </c>
      <c r="E148" s="169" t="s">
        <v>155</v>
      </c>
      <c r="F148" s="170" t="s">
        <v>134</v>
      </c>
      <c r="G148" s="171">
        <f>G146</f>
        <v>1</v>
      </c>
      <c r="H148" s="172">
        <v>146.97</v>
      </c>
      <c r="I148" s="172">
        <f t="shared" si="0"/>
        <v>146.97</v>
      </c>
      <c r="J148" s="173"/>
      <c r="K148" s="174"/>
      <c r="L148" s="175"/>
      <c r="M148" s="176" t="s">
        <v>39</v>
      </c>
      <c r="N148" s="177">
        <v>1.36</v>
      </c>
      <c r="O148" s="177">
        <f t="shared" si="1"/>
        <v>1.36</v>
      </c>
      <c r="P148" s="177">
        <v>0</v>
      </c>
      <c r="Q148" s="177">
        <f t="shared" si="2"/>
        <v>0</v>
      </c>
      <c r="R148" s="177">
        <v>0</v>
      </c>
      <c r="S148" s="178">
        <f t="shared" si="3"/>
        <v>0</v>
      </c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Q148" s="181" t="s">
        <v>135</v>
      </c>
      <c r="AS148" s="181" t="s">
        <v>131</v>
      </c>
      <c r="AT148" s="181" t="s">
        <v>136</v>
      </c>
      <c r="AX148" s="182" t="s">
        <v>129</v>
      </c>
      <c r="BD148" s="183">
        <f t="shared" si="4"/>
        <v>0</v>
      </c>
      <c r="BE148" s="183">
        <f t="shared" si="5"/>
        <v>146.97</v>
      </c>
      <c r="BF148" s="183">
        <f t="shared" si="6"/>
        <v>0</v>
      </c>
      <c r="BG148" s="183">
        <f t="shared" si="7"/>
        <v>0</v>
      </c>
      <c r="BH148" s="183">
        <f t="shared" si="8"/>
        <v>0</v>
      </c>
      <c r="BI148" s="182" t="s">
        <v>136</v>
      </c>
      <c r="BJ148" s="183">
        <f t="shared" si="9"/>
        <v>146.97</v>
      </c>
      <c r="BK148" s="182" t="s">
        <v>135</v>
      </c>
      <c r="BL148" s="181" t="s">
        <v>143</v>
      </c>
    </row>
    <row r="149" spans="1:64" s="180" customFormat="1" ht="24" customHeight="1">
      <c r="A149" s="166"/>
      <c r="B149" s="167">
        <f t="shared" si="10"/>
        <v>10</v>
      </c>
      <c r="C149" s="167" t="s">
        <v>131</v>
      </c>
      <c r="D149" s="168" t="s">
        <v>156</v>
      </c>
      <c r="E149" s="169" t="s">
        <v>157</v>
      </c>
      <c r="F149" s="170" t="s">
        <v>134</v>
      </c>
      <c r="G149" s="171">
        <v>4</v>
      </c>
      <c r="H149" s="172">
        <v>104.12</v>
      </c>
      <c r="I149" s="172">
        <f t="shared" si="0"/>
        <v>416.48</v>
      </c>
      <c r="J149" s="173"/>
      <c r="K149" s="174"/>
      <c r="L149" s="175"/>
      <c r="M149" s="176" t="s">
        <v>39</v>
      </c>
      <c r="N149" s="177">
        <v>1.387</v>
      </c>
      <c r="O149" s="177">
        <f t="shared" si="1"/>
        <v>5.548</v>
      </c>
      <c r="P149" s="177">
        <v>0</v>
      </c>
      <c r="Q149" s="177">
        <f t="shared" si="2"/>
        <v>0</v>
      </c>
      <c r="R149" s="177">
        <v>0</v>
      </c>
      <c r="S149" s="178">
        <f t="shared" si="3"/>
        <v>0</v>
      </c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Q149" s="181" t="s">
        <v>135</v>
      </c>
      <c r="AS149" s="181" t="s">
        <v>131</v>
      </c>
      <c r="AT149" s="181" t="s">
        <v>136</v>
      </c>
      <c r="AX149" s="182" t="s">
        <v>129</v>
      </c>
      <c r="BD149" s="183">
        <f t="shared" si="4"/>
        <v>0</v>
      </c>
      <c r="BE149" s="183">
        <f t="shared" si="5"/>
        <v>416.48</v>
      </c>
      <c r="BF149" s="183">
        <f t="shared" si="6"/>
        <v>0</v>
      </c>
      <c r="BG149" s="183">
        <f t="shared" si="7"/>
        <v>0</v>
      </c>
      <c r="BH149" s="183">
        <f t="shared" si="8"/>
        <v>0</v>
      </c>
      <c r="BI149" s="182" t="s">
        <v>136</v>
      </c>
      <c r="BJ149" s="183">
        <f t="shared" si="9"/>
        <v>416.48</v>
      </c>
      <c r="BK149" s="182" t="s">
        <v>135</v>
      </c>
      <c r="BL149" s="181" t="s">
        <v>158</v>
      </c>
    </row>
    <row r="150" spans="1:64" s="180" customFormat="1" ht="24" customHeight="1">
      <c r="A150" s="166"/>
      <c r="B150" s="167">
        <f t="shared" si="10"/>
        <v>11</v>
      </c>
      <c r="C150" s="167" t="s">
        <v>131</v>
      </c>
      <c r="D150" s="168" t="s">
        <v>159</v>
      </c>
      <c r="E150" s="169" t="s">
        <v>160</v>
      </c>
      <c r="F150" s="170" t="s">
        <v>134</v>
      </c>
      <c r="G150" s="171">
        <f>G149</f>
        <v>4</v>
      </c>
      <c r="H150" s="172">
        <v>77.19</v>
      </c>
      <c r="I150" s="172">
        <f t="shared" si="0"/>
        <v>308.76</v>
      </c>
      <c r="J150" s="173"/>
      <c r="K150" s="174"/>
      <c r="L150" s="175"/>
      <c r="M150" s="176" t="s">
        <v>39</v>
      </c>
      <c r="N150" s="177">
        <v>1.387</v>
      </c>
      <c r="O150" s="177">
        <f t="shared" si="1"/>
        <v>5.548</v>
      </c>
      <c r="P150" s="177">
        <v>0</v>
      </c>
      <c r="Q150" s="177">
        <f t="shared" si="2"/>
        <v>0</v>
      </c>
      <c r="R150" s="177">
        <v>0</v>
      </c>
      <c r="S150" s="178">
        <f t="shared" si="3"/>
        <v>0</v>
      </c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Q150" s="181" t="s">
        <v>135</v>
      </c>
      <c r="AS150" s="181" t="s">
        <v>131</v>
      </c>
      <c r="AT150" s="181" t="s">
        <v>136</v>
      </c>
      <c r="AX150" s="182" t="s">
        <v>129</v>
      </c>
      <c r="BD150" s="183">
        <f t="shared" si="4"/>
        <v>0</v>
      </c>
      <c r="BE150" s="183">
        <f t="shared" si="5"/>
        <v>308.76</v>
      </c>
      <c r="BF150" s="183">
        <f t="shared" si="6"/>
        <v>0</v>
      </c>
      <c r="BG150" s="183">
        <f t="shared" si="7"/>
        <v>0</v>
      </c>
      <c r="BH150" s="183">
        <f t="shared" si="8"/>
        <v>0</v>
      </c>
      <c r="BI150" s="182" t="s">
        <v>136</v>
      </c>
      <c r="BJ150" s="183">
        <f t="shared" si="9"/>
        <v>308.76</v>
      </c>
      <c r="BK150" s="182" t="s">
        <v>135</v>
      </c>
      <c r="BL150" s="181" t="s">
        <v>140</v>
      </c>
    </row>
    <row r="151" spans="1:64" s="180" customFormat="1" ht="24" customHeight="1">
      <c r="A151" s="166"/>
      <c r="B151" s="167">
        <f t="shared" si="10"/>
        <v>12</v>
      </c>
      <c r="C151" s="167" t="s">
        <v>131</v>
      </c>
      <c r="D151" s="168" t="s">
        <v>161</v>
      </c>
      <c r="E151" s="169" t="s">
        <v>162</v>
      </c>
      <c r="F151" s="170" t="s">
        <v>134</v>
      </c>
      <c r="G151" s="171">
        <f>G150</f>
        <v>4</v>
      </c>
      <c r="H151" s="172">
        <v>122.53</v>
      </c>
      <c r="I151" s="172">
        <f t="shared" si="0"/>
        <v>490.12</v>
      </c>
      <c r="J151" s="173"/>
      <c r="K151" s="174"/>
      <c r="L151" s="175"/>
      <c r="M151" s="176" t="s">
        <v>39</v>
      </c>
      <c r="N151" s="177">
        <v>1.36</v>
      </c>
      <c r="O151" s="177">
        <f t="shared" si="1"/>
        <v>5.44</v>
      </c>
      <c r="P151" s="177">
        <v>0</v>
      </c>
      <c r="Q151" s="177">
        <f t="shared" si="2"/>
        <v>0</v>
      </c>
      <c r="R151" s="177">
        <v>0</v>
      </c>
      <c r="S151" s="178">
        <f t="shared" si="3"/>
        <v>0</v>
      </c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Q151" s="181" t="s">
        <v>135</v>
      </c>
      <c r="AS151" s="181" t="s">
        <v>131</v>
      </c>
      <c r="AT151" s="181" t="s">
        <v>136</v>
      </c>
      <c r="AX151" s="182" t="s">
        <v>129</v>
      </c>
      <c r="BD151" s="183">
        <f t="shared" si="4"/>
        <v>0</v>
      </c>
      <c r="BE151" s="183">
        <f t="shared" si="5"/>
        <v>490.12</v>
      </c>
      <c r="BF151" s="183">
        <f t="shared" si="6"/>
        <v>0</v>
      </c>
      <c r="BG151" s="183">
        <f t="shared" si="7"/>
        <v>0</v>
      </c>
      <c r="BH151" s="183">
        <f t="shared" si="8"/>
        <v>0</v>
      </c>
      <c r="BI151" s="182" t="s">
        <v>136</v>
      </c>
      <c r="BJ151" s="183">
        <f t="shared" si="9"/>
        <v>490.12</v>
      </c>
      <c r="BK151" s="182" t="s">
        <v>135</v>
      </c>
      <c r="BL151" s="181" t="s">
        <v>143</v>
      </c>
    </row>
    <row r="152" spans="1:64" s="180" customFormat="1" ht="24" customHeight="1">
      <c r="A152" s="166"/>
      <c r="B152" s="167">
        <f t="shared" si="10"/>
        <v>13</v>
      </c>
      <c r="C152" s="167" t="s">
        <v>131</v>
      </c>
      <c r="D152" s="168" t="s">
        <v>163</v>
      </c>
      <c r="E152" s="169" t="s">
        <v>164</v>
      </c>
      <c r="F152" s="170" t="s">
        <v>134</v>
      </c>
      <c r="G152" s="171">
        <v>1</v>
      </c>
      <c r="H152" s="172">
        <v>61.86</v>
      </c>
      <c r="I152" s="172">
        <f t="shared" si="0"/>
        <v>61.86</v>
      </c>
      <c r="J152" s="173"/>
      <c r="K152" s="174"/>
      <c r="L152" s="175"/>
      <c r="M152" s="176" t="s">
        <v>39</v>
      </c>
      <c r="N152" s="177">
        <v>3.265</v>
      </c>
      <c r="O152" s="177">
        <f t="shared" si="1"/>
        <v>3.265</v>
      </c>
      <c r="P152" s="177">
        <v>0</v>
      </c>
      <c r="Q152" s="177">
        <f t="shared" si="2"/>
        <v>0</v>
      </c>
      <c r="R152" s="177">
        <v>0</v>
      </c>
      <c r="S152" s="178">
        <f t="shared" si="3"/>
        <v>0</v>
      </c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Q152" s="181" t="s">
        <v>135</v>
      </c>
      <c r="AS152" s="181" t="s">
        <v>131</v>
      </c>
      <c r="AT152" s="181" t="s">
        <v>136</v>
      </c>
      <c r="AX152" s="182" t="s">
        <v>129</v>
      </c>
      <c r="BD152" s="183">
        <f t="shared" si="4"/>
        <v>0</v>
      </c>
      <c r="BE152" s="183">
        <f t="shared" si="5"/>
        <v>61.86</v>
      </c>
      <c r="BF152" s="183">
        <f t="shared" si="6"/>
        <v>0</v>
      </c>
      <c r="BG152" s="183">
        <f t="shared" si="7"/>
        <v>0</v>
      </c>
      <c r="BH152" s="183">
        <f t="shared" si="8"/>
        <v>0</v>
      </c>
      <c r="BI152" s="182" t="s">
        <v>136</v>
      </c>
      <c r="BJ152" s="183">
        <f t="shared" si="9"/>
        <v>61.86</v>
      </c>
      <c r="BK152" s="182" t="s">
        <v>135</v>
      </c>
      <c r="BL152" s="181" t="s">
        <v>165</v>
      </c>
    </row>
    <row r="153" spans="1:64" s="180" customFormat="1" ht="24" customHeight="1">
      <c r="A153" s="166"/>
      <c r="B153" s="167">
        <f t="shared" si="10"/>
        <v>14</v>
      </c>
      <c r="C153" s="167" t="s">
        <v>131</v>
      </c>
      <c r="D153" s="168" t="s">
        <v>166</v>
      </c>
      <c r="E153" s="169" t="s">
        <v>167</v>
      </c>
      <c r="F153" s="170" t="s">
        <v>134</v>
      </c>
      <c r="G153" s="171">
        <f>G151+G152</f>
        <v>5</v>
      </c>
      <c r="H153" s="172">
        <v>60.76</v>
      </c>
      <c r="I153" s="172">
        <f t="shared" si="0"/>
        <v>303.8</v>
      </c>
      <c r="J153" s="173"/>
      <c r="K153" s="174"/>
      <c r="L153" s="175"/>
      <c r="M153" s="176" t="s">
        <v>39</v>
      </c>
      <c r="N153" s="177">
        <v>1.387</v>
      </c>
      <c r="O153" s="177">
        <f t="shared" si="1"/>
        <v>6.9350000000000005</v>
      </c>
      <c r="P153" s="177">
        <v>0</v>
      </c>
      <c r="Q153" s="177">
        <f t="shared" si="2"/>
        <v>0</v>
      </c>
      <c r="R153" s="177">
        <v>0</v>
      </c>
      <c r="S153" s="178">
        <f t="shared" si="3"/>
        <v>0</v>
      </c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Q153" s="181" t="s">
        <v>135</v>
      </c>
      <c r="AS153" s="181" t="s">
        <v>131</v>
      </c>
      <c r="AT153" s="181" t="s">
        <v>136</v>
      </c>
      <c r="AX153" s="182" t="s">
        <v>129</v>
      </c>
      <c r="BD153" s="183">
        <f t="shared" si="4"/>
        <v>0</v>
      </c>
      <c r="BE153" s="183">
        <f t="shared" si="5"/>
        <v>303.8</v>
      </c>
      <c r="BF153" s="183">
        <f t="shared" si="6"/>
        <v>0</v>
      </c>
      <c r="BG153" s="183">
        <f t="shared" si="7"/>
        <v>0</v>
      </c>
      <c r="BH153" s="183">
        <f t="shared" si="8"/>
        <v>0</v>
      </c>
      <c r="BI153" s="182" t="s">
        <v>136</v>
      </c>
      <c r="BJ153" s="183">
        <f t="shared" si="9"/>
        <v>303.8</v>
      </c>
      <c r="BK153" s="182" t="s">
        <v>135</v>
      </c>
      <c r="BL153" s="181" t="s">
        <v>140</v>
      </c>
    </row>
    <row r="154" spans="1:64" s="180" customFormat="1" ht="24" customHeight="1">
      <c r="A154" s="166"/>
      <c r="B154" s="167">
        <f t="shared" si="10"/>
        <v>15</v>
      </c>
      <c r="C154" s="167" t="s">
        <v>131</v>
      </c>
      <c r="D154" s="168" t="s">
        <v>168</v>
      </c>
      <c r="E154" s="169" t="s">
        <v>169</v>
      </c>
      <c r="F154" s="170" t="s">
        <v>134</v>
      </c>
      <c r="G154" s="171">
        <f>G153</f>
        <v>5</v>
      </c>
      <c r="H154" s="172">
        <v>83.68</v>
      </c>
      <c r="I154" s="172">
        <f t="shared" si="0"/>
        <v>418.4</v>
      </c>
      <c r="J154" s="173"/>
      <c r="K154" s="174"/>
      <c r="L154" s="175"/>
      <c r="M154" s="176" t="s">
        <v>39</v>
      </c>
      <c r="N154" s="177">
        <v>1.36</v>
      </c>
      <c r="O154" s="177">
        <f t="shared" si="1"/>
        <v>6.800000000000001</v>
      </c>
      <c r="P154" s="177">
        <v>0</v>
      </c>
      <c r="Q154" s="177">
        <f t="shared" si="2"/>
        <v>0</v>
      </c>
      <c r="R154" s="177">
        <v>0</v>
      </c>
      <c r="S154" s="178">
        <f t="shared" si="3"/>
        <v>0</v>
      </c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Q154" s="181" t="s">
        <v>135</v>
      </c>
      <c r="AS154" s="181" t="s">
        <v>131</v>
      </c>
      <c r="AT154" s="181" t="s">
        <v>136</v>
      </c>
      <c r="AX154" s="182" t="s">
        <v>129</v>
      </c>
      <c r="BD154" s="183">
        <f t="shared" si="4"/>
        <v>0</v>
      </c>
      <c r="BE154" s="183">
        <f t="shared" si="5"/>
        <v>418.4</v>
      </c>
      <c r="BF154" s="183">
        <f t="shared" si="6"/>
        <v>0</v>
      </c>
      <c r="BG154" s="183">
        <f t="shared" si="7"/>
        <v>0</v>
      </c>
      <c r="BH154" s="183">
        <f t="shared" si="8"/>
        <v>0</v>
      </c>
      <c r="BI154" s="182" t="s">
        <v>136</v>
      </c>
      <c r="BJ154" s="183">
        <f t="shared" si="9"/>
        <v>418.4</v>
      </c>
      <c r="BK154" s="182" t="s">
        <v>135</v>
      </c>
      <c r="BL154" s="181" t="s">
        <v>143</v>
      </c>
    </row>
    <row r="155" spans="1:64" s="180" customFormat="1" ht="24" customHeight="1">
      <c r="A155" s="166"/>
      <c r="B155" s="167">
        <f t="shared" si="10"/>
        <v>16</v>
      </c>
      <c r="C155" s="167" t="s">
        <v>131</v>
      </c>
      <c r="D155" s="168" t="s">
        <v>170</v>
      </c>
      <c r="E155" s="169" t="s">
        <v>171</v>
      </c>
      <c r="F155" s="170" t="s">
        <v>172</v>
      </c>
      <c r="G155" s="171">
        <v>800</v>
      </c>
      <c r="H155" s="172">
        <v>3.34</v>
      </c>
      <c r="I155" s="172">
        <f t="shared" si="0"/>
        <v>2672</v>
      </c>
      <c r="J155" s="173"/>
      <c r="K155" s="174"/>
      <c r="L155" s="175"/>
      <c r="M155" s="176" t="s">
        <v>39</v>
      </c>
      <c r="N155" s="177">
        <v>0.19</v>
      </c>
      <c r="O155" s="177">
        <f t="shared" si="1"/>
        <v>152</v>
      </c>
      <c r="P155" s="177">
        <v>0</v>
      </c>
      <c r="Q155" s="177">
        <f t="shared" si="2"/>
        <v>0</v>
      </c>
      <c r="R155" s="177">
        <v>0.098</v>
      </c>
      <c r="S155" s="178">
        <f t="shared" si="3"/>
        <v>78.4</v>
      </c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Q155" s="181" t="s">
        <v>135</v>
      </c>
      <c r="AS155" s="181" t="s">
        <v>131</v>
      </c>
      <c r="AT155" s="181" t="s">
        <v>136</v>
      </c>
      <c r="AX155" s="182" t="s">
        <v>129</v>
      </c>
      <c r="BD155" s="183">
        <f t="shared" si="4"/>
        <v>0</v>
      </c>
      <c r="BE155" s="183">
        <f t="shared" si="5"/>
        <v>2672</v>
      </c>
      <c r="BF155" s="183">
        <f t="shared" si="6"/>
        <v>0</v>
      </c>
      <c r="BG155" s="183">
        <f t="shared" si="7"/>
        <v>0</v>
      </c>
      <c r="BH155" s="183">
        <f t="shared" si="8"/>
        <v>0</v>
      </c>
      <c r="BI155" s="182" t="s">
        <v>136</v>
      </c>
      <c r="BJ155" s="183">
        <f t="shared" si="9"/>
        <v>2672</v>
      </c>
      <c r="BK155" s="182" t="s">
        <v>135</v>
      </c>
      <c r="BL155" s="181" t="s">
        <v>173</v>
      </c>
    </row>
    <row r="156" spans="1:64" s="180" customFormat="1" ht="37.5" customHeight="1">
      <c r="A156" s="166"/>
      <c r="B156" s="167">
        <f t="shared" si="10"/>
        <v>17</v>
      </c>
      <c r="C156" s="167" t="s">
        <v>131</v>
      </c>
      <c r="D156" s="168" t="s">
        <v>174</v>
      </c>
      <c r="E156" s="169" t="s">
        <v>175</v>
      </c>
      <c r="F156" s="170" t="s">
        <v>172</v>
      </c>
      <c r="G156" s="171">
        <f>G155</f>
        <v>800</v>
      </c>
      <c r="H156" s="172">
        <v>2.06</v>
      </c>
      <c r="I156" s="172">
        <f t="shared" si="0"/>
        <v>1648</v>
      </c>
      <c r="J156" s="173"/>
      <c r="K156" s="174"/>
      <c r="L156" s="175"/>
      <c r="M156" s="176" t="s">
        <v>39</v>
      </c>
      <c r="N156" s="177">
        <v>0.0271</v>
      </c>
      <c r="O156" s="177">
        <f t="shared" si="1"/>
        <v>21.68</v>
      </c>
      <c r="P156" s="177">
        <v>0.0001</v>
      </c>
      <c r="Q156" s="177">
        <f t="shared" si="2"/>
        <v>0.08</v>
      </c>
      <c r="R156" s="177">
        <v>0.127</v>
      </c>
      <c r="S156" s="178">
        <f t="shared" si="3"/>
        <v>101.6</v>
      </c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Q156" s="181" t="s">
        <v>135</v>
      </c>
      <c r="AS156" s="181" t="s">
        <v>131</v>
      </c>
      <c r="AT156" s="181" t="s">
        <v>136</v>
      </c>
      <c r="AX156" s="182" t="s">
        <v>129</v>
      </c>
      <c r="BD156" s="183">
        <f t="shared" si="4"/>
        <v>0</v>
      </c>
      <c r="BE156" s="183">
        <f t="shared" si="5"/>
        <v>1648</v>
      </c>
      <c r="BF156" s="183">
        <f t="shared" si="6"/>
        <v>0</v>
      </c>
      <c r="BG156" s="183">
        <f t="shared" si="7"/>
        <v>0</v>
      </c>
      <c r="BH156" s="183">
        <f t="shared" si="8"/>
        <v>0</v>
      </c>
      <c r="BI156" s="182" t="s">
        <v>136</v>
      </c>
      <c r="BJ156" s="183">
        <f t="shared" si="9"/>
        <v>1648</v>
      </c>
      <c r="BK156" s="182" t="s">
        <v>135</v>
      </c>
      <c r="BL156" s="181" t="s">
        <v>176</v>
      </c>
    </row>
    <row r="157" spans="1:64" s="180" customFormat="1" ht="33" customHeight="1">
      <c r="A157" s="166"/>
      <c r="B157" s="167">
        <f t="shared" si="10"/>
        <v>18</v>
      </c>
      <c r="C157" s="167" t="s">
        <v>131</v>
      </c>
      <c r="D157" s="168" t="s">
        <v>177</v>
      </c>
      <c r="E157" s="169" t="s">
        <v>178</v>
      </c>
      <c r="F157" s="170" t="s">
        <v>172</v>
      </c>
      <c r="G157" s="184">
        <v>1720</v>
      </c>
      <c r="H157" s="172">
        <v>17.18</v>
      </c>
      <c r="I157" s="172">
        <f t="shared" si="0"/>
        <v>29549.6</v>
      </c>
      <c r="J157" s="173"/>
      <c r="K157" s="174"/>
      <c r="L157" s="175"/>
      <c r="M157" s="176" t="s">
        <v>39</v>
      </c>
      <c r="N157" s="177">
        <v>1.97</v>
      </c>
      <c r="O157" s="177">
        <f t="shared" si="1"/>
        <v>3388.4</v>
      </c>
      <c r="P157" s="177">
        <v>0</v>
      </c>
      <c r="Q157" s="177">
        <f t="shared" si="2"/>
        <v>0</v>
      </c>
      <c r="R157" s="177">
        <v>0.5</v>
      </c>
      <c r="S157" s="178">
        <f t="shared" si="3"/>
        <v>860</v>
      </c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Q157" s="181" t="s">
        <v>135</v>
      </c>
      <c r="AS157" s="181" t="s">
        <v>131</v>
      </c>
      <c r="AT157" s="181" t="s">
        <v>136</v>
      </c>
      <c r="AX157" s="182" t="s">
        <v>129</v>
      </c>
      <c r="BD157" s="183">
        <f t="shared" si="4"/>
        <v>0</v>
      </c>
      <c r="BE157" s="183">
        <f t="shared" si="5"/>
        <v>29549.6</v>
      </c>
      <c r="BF157" s="183">
        <f t="shared" si="6"/>
        <v>0</v>
      </c>
      <c r="BG157" s="183">
        <f t="shared" si="7"/>
        <v>0</v>
      </c>
      <c r="BH157" s="183">
        <f t="shared" si="8"/>
        <v>0</v>
      </c>
      <c r="BI157" s="182" t="s">
        <v>136</v>
      </c>
      <c r="BJ157" s="183">
        <f t="shared" si="9"/>
        <v>29549.6</v>
      </c>
      <c r="BK157" s="182" t="s">
        <v>135</v>
      </c>
      <c r="BL157" s="181" t="s">
        <v>179</v>
      </c>
    </row>
    <row r="158" spans="1:64" s="180" customFormat="1" ht="21.75" customHeight="1">
      <c r="A158" s="166"/>
      <c r="B158" s="167">
        <f t="shared" si="10"/>
        <v>19</v>
      </c>
      <c r="C158" s="167" t="s">
        <v>131</v>
      </c>
      <c r="D158" s="168" t="s">
        <v>180</v>
      </c>
      <c r="E158" s="169" t="s">
        <v>181</v>
      </c>
      <c r="F158" s="170" t="s">
        <v>182</v>
      </c>
      <c r="G158" s="171">
        <f>47*0.2</f>
        <v>9.4</v>
      </c>
      <c r="H158" s="172">
        <v>33.34</v>
      </c>
      <c r="I158" s="172">
        <f t="shared" si="0"/>
        <v>313.4</v>
      </c>
      <c r="J158" s="173"/>
      <c r="K158" s="174"/>
      <c r="L158" s="175"/>
      <c r="M158" s="176" t="s">
        <v>39</v>
      </c>
      <c r="N158" s="177">
        <v>2.514</v>
      </c>
      <c r="O158" s="177">
        <f t="shared" si="1"/>
        <v>23.6316</v>
      </c>
      <c r="P158" s="177">
        <v>0</v>
      </c>
      <c r="Q158" s="177">
        <f t="shared" si="2"/>
        <v>0</v>
      </c>
      <c r="R158" s="177">
        <v>0</v>
      </c>
      <c r="S158" s="178">
        <f t="shared" si="3"/>
        <v>0</v>
      </c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Q158" s="181" t="s">
        <v>135</v>
      </c>
      <c r="AS158" s="181" t="s">
        <v>131</v>
      </c>
      <c r="AT158" s="181" t="s">
        <v>136</v>
      </c>
      <c r="AX158" s="182" t="s">
        <v>129</v>
      </c>
      <c r="BD158" s="183">
        <f t="shared" si="4"/>
        <v>0</v>
      </c>
      <c r="BE158" s="183">
        <f t="shared" si="5"/>
        <v>313.4</v>
      </c>
      <c r="BF158" s="183">
        <f t="shared" si="6"/>
        <v>0</v>
      </c>
      <c r="BG158" s="183">
        <f t="shared" si="7"/>
        <v>0</v>
      </c>
      <c r="BH158" s="183">
        <f t="shared" si="8"/>
        <v>0</v>
      </c>
      <c r="BI158" s="182" t="s">
        <v>136</v>
      </c>
      <c r="BJ158" s="183">
        <f t="shared" si="9"/>
        <v>313.4</v>
      </c>
      <c r="BK158" s="182" t="s">
        <v>135</v>
      </c>
      <c r="BL158" s="181" t="s">
        <v>183</v>
      </c>
    </row>
    <row r="159" spans="1:64" s="180" customFormat="1" ht="37.5" customHeight="1">
      <c r="A159" s="166"/>
      <c r="B159" s="167">
        <f t="shared" si="10"/>
        <v>20</v>
      </c>
      <c r="C159" s="167" t="s">
        <v>131</v>
      </c>
      <c r="D159" s="168" t="s">
        <v>184</v>
      </c>
      <c r="E159" s="169" t="s">
        <v>185</v>
      </c>
      <c r="F159" s="170" t="s">
        <v>182</v>
      </c>
      <c r="G159" s="171">
        <f>47*0.2</f>
        <v>9.4</v>
      </c>
      <c r="H159" s="172">
        <v>9.43</v>
      </c>
      <c r="I159" s="172">
        <f t="shared" si="0"/>
        <v>88.64</v>
      </c>
      <c r="J159" s="173"/>
      <c r="K159" s="174"/>
      <c r="L159" s="175"/>
      <c r="M159" s="176" t="s">
        <v>39</v>
      </c>
      <c r="N159" s="177">
        <v>0.613</v>
      </c>
      <c r="O159" s="177">
        <f t="shared" si="1"/>
        <v>5.7622</v>
      </c>
      <c r="P159" s="177">
        <v>0</v>
      </c>
      <c r="Q159" s="177">
        <f t="shared" si="2"/>
        <v>0</v>
      </c>
      <c r="R159" s="177">
        <v>0</v>
      </c>
      <c r="S159" s="178">
        <f t="shared" si="3"/>
        <v>0</v>
      </c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Q159" s="181" t="s">
        <v>135</v>
      </c>
      <c r="AS159" s="181" t="s">
        <v>131</v>
      </c>
      <c r="AT159" s="181" t="s">
        <v>136</v>
      </c>
      <c r="AX159" s="182" t="s">
        <v>129</v>
      </c>
      <c r="BD159" s="183">
        <f t="shared" si="4"/>
        <v>0</v>
      </c>
      <c r="BE159" s="183">
        <f t="shared" si="5"/>
        <v>88.64</v>
      </c>
      <c r="BF159" s="183">
        <f t="shared" si="6"/>
        <v>0</v>
      </c>
      <c r="BG159" s="183">
        <f t="shared" si="7"/>
        <v>0</v>
      </c>
      <c r="BH159" s="183">
        <f t="shared" si="8"/>
        <v>0</v>
      </c>
      <c r="BI159" s="182" t="s">
        <v>136</v>
      </c>
      <c r="BJ159" s="183">
        <f t="shared" si="9"/>
        <v>88.64</v>
      </c>
      <c r="BK159" s="182" t="s">
        <v>135</v>
      </c>
      <c r="BL159" s="181" t="s">
        <v>186</v>
      </c>
    </row>
    <row r="160" spans="1:64" s="180" customFormat="1" ht="24" customHeight="1">
      <c r="A160" s="166"/>
      <c r="B160" s="167">
        <f t="shared" si="10"/>
        <v>21</v>
      </c>
      <c r="C160" s="167" t="s">
        <v>131</v>
      </c>
      <c r="D160" s="168" t="s">
        <v>187</v>
      </c>
      <c r="E160" s="169" t="s">
        <v>188</v>
      </c>
      <c r="F160" s="170" t="s">
        <v>182</v>
      </c>
      <c r="G160" s="171">
        <f>47*0.2</f>
        <v>9.4</v>
      </c>
      <c r="H160" s="172">
        <v>1.47</v>
      </c>
      <c r="I160" s="172">
        <f t="shared" si="0"/>
        <v>13.82</v>
      </c>
      <c r="J160" s="173"/>
      <c r="K160" s="174"/>
      <c r="L160" s="175"/>
      <c r="M160" s="176" t="s">
        <v>39</v>
      </c>
      <c r="N160" s="177">
        <v>0.081</v>
      </c>
      <c r="O160" s="177">
        <f t="shared" si="1"/>
        <v>0.7614000000000001</v>
      </c>
      <c r="P160" s="177">
        <v>0</v>
      </c>
      <c r="Q160" s="177">
        <f t="shared" si="2"/>
        <v>0</v>
      </c>
      <c r="R160" s="177">
        <v>0</v>
      </c>
      <c r="S160" s="178">
        <f t="shared" si="3"/>
        <v>0</v>
      </c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Q160" s="181" t="s">
        <v>135</v>
      </c>
      <c r="AS160" s="181" t="s">
        <v>131</v>
      </c>
      <c r="AT160" s="181" t="s">
        <v>136</v>
      </c>
      <c r="AX160" s="182" t="s">
        <v>129</v>
      </c>
      <c r="BD160" s="183">
        <f t="shared" si="4"/>
        <v>0</v>
      </c>
      <c r="BE160" s="183">
        <f t="shared" si="5"/>
        <v>13.82</v>
      </c>
      <c r="BF160" s="183">
        <f t="shared" si="6"/>
        <v>0</v>
      </c>
      <c r="BG160" s="183">
        <f t="shared" si="7"/>
        <v>0</v>
      </c>
      <c r="BH160" s="183">
        <f t="shared" si="8"/>
        <v>0</v>
      </c>
      <c r="BI160" s="182" t="s">
        <v>136</v>
      </c>
      <c r="BJ160" s="183">
        <f t="shared" si="9"/>
        <v>13.82</v>
      </c>
      <c r="BK160" s="182" t="s">
        <v>135</v>
      </c>
      <c r="BL160" s="181" t="s">
        <v>189</v>
      </c>
    </row>
    <row r="161" spans="1:64" s="180" customFormat="1" ht="37.5" customHeight="1">
      <c r="A161" s="166"/>
      <c r="B161" s="167">
        <f t="shared" si="10"/>
        <v>22</v>
      </c>
      <c r="C161" s="167" t="s">
        <v>131</v>
      </c>
      <c r="D161" s="168" t="s">
        <v>190</v>
      </c>
      <c r="E161" s="169" t="s">
        <v>191</v>
      </c>
      <c r="F161" s="170" t="s">
        <v>182</v>
      </c>
      <c r="G161" s="171">
        <v>32</v>
      </c>
      <c r="H161" s="172">
        <v>2.65</v>
      </c>
      <c r="I161" s="172">
        <f t="shared" si="0"/>
        <v>84.8</v>
      </c>
      <c r="J161" s="173"/>
      <c r="K161" s="174"/>
      <c r="L161" s="175"/>
      <c r="M161" s="176" t="s">
        <v>39</v>
      </c>
      <c r="N161" s="177">
        <v>0.068</v>
      </c>
      <c r="O161" s="177">
        <f t="shared" si="1"/>
        <v>2.176</v>
      </c>
      <c r="P161" s="177">
        <v>0</v>
      </c>
      <c r="Q161" s="177">
        <f t="shared" si="2"/>
        <v>0</v>
      </c>
      <c r="R161" s="177">
        <v>0</v>
      </c>
      <c r="S161" s="178">
        <f t="shared" si="3"/>
        <v>0</v>
      </c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Q161" s="181" t="s">
        <v>135</v>
      </c>
      <c r="AS161" s="181" t="s">
        <v>131</v>
      </c>
      <c r="AT161" s="181" t="s">
        <v>136</v>
      </c>
      <c r="AX161" s="182" t="s">
        <v>129</v>
      </c>
      <c r="BD161" s="183">
        <f t="shared" si="4"/>
        <v>0</v>
      </c>
      <c r="BE161" s="183">
        <f t="shared" si="5"/>
        <v>84.8</v>
      </c>
      <c r="BF161" s="183">
        <f t="shared" si="6"/>
        <v>0</v>
      </c>
      <c r="BG161" s="183">
        <f t="shared" si="7"/>
        <v>0</v>
      </c>
      <c r="BH161" s="183">
        <f t="shared" si="8"/>
        <v>0</v>
      </c>
      <c r="BI161" s="182" t="s">
        <v>136</v>
      </c>
      <c r="BJ161" s="183">
        <f t="shared" si="9"/>
        <v>84.8</v>
      </c>
      <c r="BK161" s="182" t="s">
        <v>135</v>
      </c>
      <c r="BL161" s="181" t="s">
        <v>192</v>
      </c>
    </row>
    <row r="162" spans="1:64" s="180" customFormat="1" ht="21.75" customHeight="1">
      <c r="A162" s="166"/>
      <c r="B162" s="167">
        <f t="shared" si="10"/>
        <v>23</v>
      </c>
      <c r="C162" s="185" t="s">
        <v>193</v>
      </c>
      <c r="D162" s="186" t="s">
        <v>194</v>
      </c>
      <c r="E162" s="187" t="s">
        <v>195</v>
      </c>
      <c r="F162" s="188" t="s">
        <v>196</v>
      </c>
      <c r="G162" s="189">
        <v>150</v>
      </c>
      <c r="H162" s="190">
        <v>17.27</v>
      </c>
      <c r="I162" s="190">
        <f t="shared" si="0"/>
        <v>2590.5</v>
      </c>
      <c r="J162" s="191"/>
      <c r="K162" s="192"/>
      <c r="L162" s="193"/>
      <c r="M162" s="194" t="s">
        <v>39</v>
      </c>
      <c r="N162" s="177">
        <v>0</v>
      </c>
      <c r="O162" s="177">
        <f t="shared" si="1"/>
        <v>0</v>
      </c>
      <c r="P162" s="177">
        <v>1</v>
      </c>
      <c r="Q162" s="177">
        <f t="shared" si="2"/>
        <v>150</v>
      </c>
      <c r="R162" s="177">
        <v>0</v>
      </c>
      <c r="S162" s="178">
        <f t="shared" si="3"/>
        <v>0</v>
      </c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Q162" s="181" t="s">
        <v>197</v>
      </c>
      <c r="AS162" s="181" t="s">
        <v>193</v>
      </c>
      <c r="AT162" s="181" t="s">
        <v>136</v>
      </c>
      <c r="AX162" s="182" t="s">
        <v>129</v>
      </c>
      <c r="BD162" s="183">
        <f t="shared" si="4"/>
        <v>0</v>
      </c>
      <c r="BE162" s="183">
        <f t="shared" si="5"/>
        <v>2590.5</v>
      </c>
      <c r="BF162" s="183">
        <f t="shared" si="6"/>
        <v>0</v>
      </c>
      <c r="BG162" s="183">
        <f t="shared" si="7"/>
        <v>0</v>
      </c>
      <c r="BH162" s="183">
        <f t="shared" si="8"/>
        <v>0</v>
      </c>
      <c r="BI162" s="182" t="s">
        <v>136</v>
      </c>
      <c r="BJ162" s="183">
        <f t="shared" si="9"/>
        <v>2590.5</v>
      </c>
      <c r="BK162" s="182" t="s">
        <v>135</v>
      </c>
      <c r="BL162" s="181" t="s">
        <v>198</v>
      </c>
    </row>
    <row r="163" spans="1:64" s="180" customFormat="1" ht="33" customHeight="1">
      <c r="A163" s="166"/>
      <c r="B163" s="167">
        <f t="shared" si="10"/>
        <v>24</v>
      </c>
      <c r="C163" s="167" t="s">
        <v>131</v>
      </c>
      <c r="D163" s="168" t="s">
        <v>199</v>
      </c>
      <c r="E163" s="169" t="s">
        <v>200</v>
      </c>
      <c r="F163" s="170" t="s">
        <v>182</v>
      </c>
      <c r="G163" s="171">
        <f>G162*1.2</f>
        <v>180</v>
      </c>
      <c r="H163" s="172">
        <v>1</v>
      </c>
      <c r="I163" s="172">
        <f t="shared" si="0"/>
        <v>180</v>
      </c>
      <c r="J163" s="173"/>
      <c r="K163" s="174"/>
      <c r="L163" s="175"/>
      <c r="M163" s="176" t="s">
        <v>39</v>
      </c>
      <c r="N163" s="177">
        <v>0.031000000000000003</v>
      </c>
      <c r="O163" s="177">
        <f t="shared" si="1"/>
        <v>5.580000000000001</v>
      </c>
      <c r="P163" s="177">
        <v>0</v>
      </c>
      <c r="Q163" s="177">
        <f t="shared" si="2"/>
        <v>0</v>
      </c>
      <c r="R163" s="177">
        <v>0</v>
      </c>
      <c r="S163" s="178">
        <f t="shared" si="3"/>
        <v>0</v>
      </c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Q163" s="181" t="s">
        <v>135</v>
      </c>
      <c r="AS163" s="181" t="s">
        <v>131</v>
      </c>
      <c r="AT163" s="181" t="s">
        <v>136</v>
      </c>
      <c r="AX163" s="182" t="s">
        <v>129</v>
      </c>
      <c r="BD163" s="183">
        <f t="shared" si="4"/>
        <v>0</v>
      </c>
      <c r="BE163" s="183">
        <f t="shared" si="5"/>
        <v>180</v>
      </c>
      <c r="BF163" s="183">
        <f t="shared" si="6"/>
        <v>0</v>
      </c>
      <c r="BG163" s="183">
        <f t="shared" si="7"/>
        <v>0</v>
      </c>
      <c r="BH163" s="183">
        <f t="shared" si="8"/>
        <v>0</v>
      </c>
      <c r="BI163" s="182" t="s">
        <v>136</v>
      </c>
      <c r="BJ163" s="183">
        <f t="shared" si="9"/>
        <v>180</v>
      </c>
      <c r="BK163" s="182" t="s">
        <v>135</v>
      </c>
      <c r="BL163" s="181" t="s">
        <v>201</v>
      </c>
    </row>
    <row r="164" spans="1:64" s="180" customFormat="1" ht="21.75" customHeight="1">
      <c r="A164" s="166"/>
      <c r="B164" s="167">
        <f t="shared" si="10"/>
        <v>25</v>
      </c>
      <c r="C164" s="167" t="s">
        <v>131</v>
      </c>
      <c r="D164" s="168" t="s">
        <v>202</v>
      </c>
      <c r="E164" s="169" t="s">
        <v>203</v>
      </c>
      <c r="F164" s="170" t="s">
        <v>172</v>
      </c>
      <c r="G164" s="171">
        <v>7740</v>
      </c>
      <c r="H164" s="172">
        <v>0.83</v>
      </c>
      <c r="I164" s="172">
        <f t="shared" si="0"/>
        <v>6424.2</v>
      </c>
      <c r="J164" s="173"/>
      <c r="K164" s="174"/>
      <c r="L164" s="175"/>
      <c r="M164" s="176" t="s">
        <v>39</v>
      </c>
      <c r="N164" s="177">
        <v>0.061</v>
      </c>
      <c r="O164" s="177">
        <f t="shared" si="1"/>
        <v>472.14</v>
      </c>
      <c r="P164" s="177">
        <v>0</v>
      </c>
      <c r="Q164" s="177">
        <f t="shared" si="2"/>
        <v>0</v>
      </c>
      <c r="R164" s="177">
        <v>0</v>
      </c>
      <c r="S164" s="178">
        <f t="shared" si="3"/>
        <v>0</v>
      </c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Q164" s="181" t="s">
        <v>135</v>
      </c>
      <c r="AS164" s="181" t="s">
        <v>131</v>
      </c>
      <c r="AT164" s="181" t="s">
        <v>136</v>
      </c>
      <c r="AX164" s="182" t="s">
        <v>129</v>
      </c>
      <c r="BD164" s="183">
        <f t="shared" si="4"/>
        <v>0</v>
      </c>
      <c r="BE164" s="183">
        <f t="shared" si="5"/>
        <v>6424.2</v>
      </c>
      <c r="BF164" s="183">
        <f t="shared" si="6"/>
        <v>0</v>
      </c>
      <c r="BG164" s="183">
        <f t="shared" si="7"/>
        <v>0</v>
      </c>
      <c r="BH164" s="183">
        <f t="shared" si="8"/>
        <v>0</v>
      </c>
      <c r="BI164" s="182" t="s">
        <v>136</v>
      </c>
      <c r="BJ164" s="183">
        <f t="shared" si="9"/>
        <v>6424.2</v>
      </c>
      <c r="BK164" s="182" t="s">
        <v>135</v>
      </c>
      <c r="BL164" s="181" t="s">
        <v>204</v>
      </c>
    </row>
    <row r="165" spans="1:64" s="180" customFormat="1" ht="24.75" customHeight="1">
      <c r="A165" s="166"/>
      <c r="B165" s="167">
        <f t="shared" si="10"/>
        <v>26</v>
      </c>
      <c r="C165" s="185" t="s">
        <v>193</v>
      </c>
      <c r="D165" s="186" t="s">
        <v>205</v>
      </c>
      <c r="E165" s="187" t="s">
        <v>206</v>
      </c>
      <c r="F165" s="188" t="s">
        <v>172</v>
      </c>
      <c r="G165" s="189">
        <f>G164</f>
        <v>7740</v>
      </c>
      <c r="H165" s="190">
        <v>0.38</v>
      </c>
      <c r="I165" s="190">
        <f t="shared" si="0"/>
        <v>2941.2</v>
      </c>
      <c r="J165" s="191"/>
      <c r="K165" s="192"/>
      <c r="L165" s="193"/>
      <c r="M165" s="194" t="s">
        <v>39</v>
      </c>
      <c r="N165" s="177">
        <v>0</v>
      </c>
      <c r="O165" s="177">
        <f t="shared" si="1"/>
        <v>0</v>
      </c>
      <c r="P165" s="177">
        <v>0</v>
      </c>
      <c r="Q165" s="177">
        <f t="shared" si="2"/>
        <v>0</v>
      </c>
      <c r="R165" s="177">
        <v>0</v>
      </c>
      <c r="S165" s="178">
        <f t="shared" si="3"/>
        <v>0</v>
      </c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Q165" s="181" t="s">
        <v>197</v>
      </c>
      <c r="AS165" s="181" t="s">
        <v>193</v>
      </c>
      <c r="AT165" s="181" t="s">
        <v>136</v>
      </c>
      <c r="AX165" s="182" t="s">
        <v>129</v>
      </c>
      <c r="BD165" s="183">
        <f t="shared" si="4"/>
        <v>0</v>
      </c>
      <c r="BE165" s="183">
        <f t="shared" si="5"/>
        <v>2941.2</v>
      </c>
      <c r="BF165" s="183">
        <f t="shared" si="6"/>
        <v>0</v>
      </c>
      <c r="BG165" s="183">
        <f t="shared" si="7"/>
        <v>0</v>
      </c>
      <c r="BH165" s="183">
        <f t="shared" si="8"/>
        <v>0</v>
      </c>
      <c r="BI165" s="182" t="s">
        <v>136</v>
      </c>
      <c r="BJ165" s="183">
        <f t="shared" si="9"/>
        <v>2941.2</v>
      </c>
      <c r="BK165" s="182" t="s">
        <v>135</v>
      </c>
      <c r="BL165" s="181" t="s">
        <v>6</v>
      </c>
    </row>
    <row r="166" spans="1:64" s="180" customFormat="1" ht="21.75" customHeight="1">
      <c r="A166" s="166"/>
      <c r="B166" s="167">
        <f t="shared" si="10"/>
        <v>27</v>
      </c>
      <c r="C166" s="167" t="s">
        <v>131</v>
      </c>
      <c r="D166" s="168" t="s">
        <v>207</v>
      </c>
      <c r="E166" s="169" t="s">
        <v>208</v>
      </c>
      <c r="F166" s="170" t="s">
        <v>172</v>
      </c>
      <c r="G166" s="171">
        <f>G164</f>
        <v>7740</v>
      </c>
      <c r="H166" s="172">
        <v>0.04</v>
      </c>
      <c r="I166" s="172">
        <f t="shared" si="0"/>
        <v>309.6</v>
      </c>
      <c r="J166" s="173"/>
      <c r="K166" s="174"/>
      <c r="L166" s="175"/>
      <c r="M166" s="176" t="s">
        <v>39</v>
      </c>
      <c r="N166" s="177">
        <v>0.002</v>
      </c>
      <c r="O166" s="177">
        <f t="shared" si="1"/>
        <v>15.48</v>
      </c>
      <c r="P166" s="177">
        <v>0</v>
      </c>
      <c r="Q166" s="177">
        <f t="shared" si="2"/>
        <v>0</v>
      </c>
      <c r="R166" s="177">
        <v>0</v>
      </c>
      <c r="S166" s="178">
        <f t="shared" si="3"/>
        <v>0</v>
      </c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Q166" s="181" t="s">
        <v>135</v>
      </c>
      <c r="AS166" s="181" t="s">
        <v>131</v>
      </c>
      <c r="AT166" s="181" t="s">
        <v>136</v>
      </c>
      <c r="AX166" s="182" t="s">
        <v>129</v>
      </c>
      <c r="BD166" s="183">
        <f t="shared" si="4"/>
        <v>0</v>
      </c>
      <c r="BE166" s="183">
        <f t="shared" si="5"/>
        <v>309.6</v>
      </c>
      <c r="BF166" s="183">
        <f t="shared" si="6"/>
        <v>0</v>
      </c>
      <c r="BG166" s="183">
        <f t="shared" si="7"/>
        <v>0</v>
      </c>
      <c r="BH166" s="183">
        <f t="shared" si="8"/>
        <v>0</v>
      </c>
      <c r="BI166" s="182" t="s">
        <v>136</v>
      </c>
      <c r="BJ166" s="183">
        <f t="shared" si="9"/>
        <v>309.6</v>
      </c>
      <c r="BK166" s="182" t="s">
        <v>135</v>
      </c>
      <c r="BL166" s="181" t="s">
        <v>209</v>
      </c>
    </row>
    <row r="167" spans="1:64" s="180" customFormat="1" ht="21.75" customHeight="1">
      <c r="A167" s="166"/>
      <c r="B167" s="167">
        <f t="shared" si="10"/>
        <v>28</v>
      </c>
      <c r="C167" s="167" t="s">
        <v>131</v>
      </c>
      <c r="D167" s="168" t="s">
        <v>210</v>
      </c>
      <c r="E167" s="169" t="s">
        <v>211</v>
      </c>
      <c r="F167" s="170" t="s">
        <v>172</v>
      </c>
      <c r="G167" s="171">
        <f>G164</f>
        <v>7740</v>
      </c>
      <c r="H167" s="172">
        <v>0.29000000000000004</v>
      </c>
      <c r="I167" s="172">
        <f t="shared" si="0"/>
        <v>2244.6</v>
      </c>
      <c r="J167" s="173"/>
      <c r="K167" s="174"/>
      <c r="L167" s="175"/>
      <c r="M167" s="176" t="s">
        <v>39</v>
      </c>
      <c r="N167" s="177">
        <v>0.011</v>
      </c>
      <c r="O167" s="177">
        <f t="shared" si="1"/>
        <v>85.14</v>
      </c>
      <c r="P167" s="177">
        <v>0</v>
      </c>
      <c r="Q167" s="177">
        <f t="shared" si="2"/>
        <v>0</v>
      </c>
      <c r="R167" s="177">
        <v>0</v>
      </c>
      <c r="S167" s="178">
        <f t="shared" si="3"/>
        <v>0</v>
      </c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179"/>
      <c r="AQ167" s="181" t="s">
        <v>135</v>
      </c>
      <c r="AS167" s="181" t="s">
        <v>131</v>
      </c>
      <c r="AT167" s="181" t="s">
        <v>136</v>
      </c>
      <c r="AX167" s="182" t="s">
        <v>129</v>
      </c>
      <c r="BD167" s="183">
        <f t="shared" si="4"/>
        <v>0</v>
      </c>
      <c r="BE167" s="183">
        <f t="shared" si="5"/>
        <v>2244.6</v>
      </c>
      <c r="BF167" s="183">
        <f t="shared" si="6"/>
        <v>0</v>
      </c>
      <c r="BG167" s="183">
        <f t="shared" si="7"/>
        <v>0</v>
      </c>
      <c r="BH167" s="183">
        <f t="shared" si="8"/>
        <v>0</v>
      </c>
      <c r="BI167" s="182" t="s">
        <v>136</v>
      </c>
      <c r="BJ167" s="183">
        <f t="shared" si="9"/>
        <v>2244.6</v>
      </c>
      <c r="BK167" s="182" t="s">
        <v>135</v>
      </c>
      <c r="BL167" s="181" t="s">
        <v>212</v>
      </c>
    </row>
    <row r="168" spans="1:64" s="180" customFormat="1" ht="21.75" customHeight="1">
      <c r="A168" s="166"/>
      <c r="B168" s="167">
        <f t="shared" si="10"/>
        <v>29</v>
      </c>
      <c r="C168" s="167"/>
      <c r="D168" s="168" t="s">
        <v>213</v>
      </c>
      <c r="E168" s="169" t="s">
        <v>214</v>
      </c>
      <c r="F168" s="170" t="s">
        <v>172</v>
      </c>
      <c r="G168" s="171">
        <v>3373</v>
      </c>
      <c r="H168" s="172">
        <v>0.75</v>
      </c>
      <c r="I168" s="172">
        <f t="shared" si="0"/>
        <v>2529.75</v>
      </c>
      <c r="J168" s="173"/>
      <c r="K168" s="174"/>
      <c r="L168" s="175"/>
      <c r="M168" s="176"/>
      <c r="N168" s="177"/>
      <c r="O168" s="177"/>
      <c r="P168" s="177"/>
      <c r="Q168" s="177"/>
      <c r="R168" s="177"/>
      <c r="S168" s="178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Q168" s="181"/>
      <c r="AS168" s="181"/>
      <c r="AT168" s="181"/>
      <c r="AX168" s="182"/>
      <c r="BD168" s="183"/>
      <c r="BE168" s="183"/>
      <c r="BF168" s="183"/>
      <c r="BG168" s="183"/>
      <c r="BH168" s="183"/>
      <c r="BI168" s="182"/>
      <c r="BJ168" s="183"/>
      <c r="BK168" s="182"/>
      <c r="BL168" s="181"/>
    </row>
    <row r="169" spans="1:64" s="180" customFormat="1" ht="16.5" customHeight="1">
      <c r="A169" s="166"/>
      <c r="B169" s="167">
        <f t="shared" si="10"/>
        <v>30</v>
      </c>
      <c r="C169" s="185" t="s">
        <v>193</v>
      </c>
      <c r="D169" s="186" t="s">
        <v>215</v>
      </c>
      <c r="E169" s="187" t="s">
        <v>216</v>
      </c>
      <c r="F169" s="188" t="s">
        <v>172</v>
      </c>
      <c r="G169" s="189">
        <f>G168</f>
        <v>3373</v>
      </c>
      <c r="H169" s="190">
        <v>1.3</v>
      </c>
      <c r="I169" s="190">
        <f t="shared" si="0"/>
        <v>4384.9</v>
      </c>
      <c r="J169" s="191"/>
      <c r="K169" s="192"/>
      <c r="L169" s="193"/>
      <c r="M169" s="194"/>
      <c r="N169" s="177"/>
      <c r="O169" s="177"/>
      <c r="P169" s="177"/>
      <c r="Q169" s="177"/>
      <c r="R169" s="177"/>
      <c r="S169" s="178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Q169" s="181"/>
      <c r="AS169" s="181"/>
      <c r="AT169" s="181"/>
      <c r="AX169" s="182"/>
      <c r="BD169" s="183"/>
      <c r="BE169" s="183"/>
      <c r="BF169" s="183"/>
      <c r="BG169" s="183"/>
      <c r="BH169" s="183"/>
      <c r="BI169" s="182"/>
      <c r="BJ169" s="183"/>
      <c r="BK169" s="182"/>
      <c r="BL169" s="181"/>
    </row>
    <row r="170" spans="1:64" s="180" customFormat="1" ht="16.5" customHeight="1">
      <c r="A170" s="166"/>
      <c r="B170" s="167">
        <f t="shared" si="10"/>
        <v>31</v>
      </c>
      <c r="C170" s="167" t="s">
        <v>131</v>
      </c>
      <c r="D170" s="168" t="s">
        <v>217</v>
      </c>
      <c r="E170" s="169" t="s">
        <v>218</v>
      </c>
      <c r="F170" s="170" t="s">
        <v>172</v>
      </c>
      <c r="G170" s="171">
        <f>G168+G164+G175+G176</f>
        <v>11895</v>
      </c>
      <c r="H170" s="172">
        <v>0.23</v>
      </c>
      <c r="I170" s="172">
        <f t="shared" si="0"/>
        <v>2735.85</v>
      </c>
      <c r="J170" s="173"/>
      <c r="K170" s="174"/>
      <c r="L170" s="175"/>
      <c r="M170" s="176" t="s">
        <v>39</v>
      </c>
      <c r="N170" s="177">
        <v>0</v>
      </c>
      <c r="O170" s="177">
        <f aca="true" t="shared" si="11" ref="O170:O175">N170*G170</f>
        <v>0</v>
      </c>
      <c r="P170" s="177">
        <v>0</v>
      </c>
      <c r="Q170" s="177">
        <f aca="true" t="shared" si="12" ref="Q170:Q175">P170*G170</f>
        <v>0</v>
      </c>
      <c r="R170" s="177">
        <v>0</v>
      </c>
      <c r="S170" s="178">
        <f aca="true" t="shared" si="13" ref="S170:S175">R170*G170</f>
        <v>0</v>
      </c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Q170" s="181" t="s">
        <v>135</v>
      </c>
      <c r="AS170" s="181" t="s">
        <v>131</v>
      </c>
      <c r="AT170" s="181" t="s">
        <v>136</v>
      </c>
      <c r="AX170" s="182" t="s">
        <v>129</v>
      </c>
      <c r="BD170" s="183">
        <f aca="true" t="shared" si="14" ref="BD170:BD175">IF(M170="základná",I170,0)</f>
        <v>0</v>
      </c>
      <c r="BE170" s="183">
        <f aca="true" t="shared" si="15" ref="BE170:BE175">IF(M170="znížená",I170,0)</f>
        <v>2735.85</v>
      </c>
      <c r="BF170" s="183">
        <f aca="true" t="shared" si="16" ref="BF170:BF175">IF(M170="zákl. prenesená",I170,0)</f>
        <v>0</v>
      </c>
      <c r="BG170" s="183">
        <f aca="true" t="shared" si="17" ref="BG170:BG175">IF(M170="zníž. prenesená",I170,0)</f>
        <v>0</v>
      </c>
      <c r="BH170" s="183">
        <f aca="true" t="shared" si="18" ref="BH170:BH175">IF(M170="nulová",I170,0)</f>
        <v>0</v>
      </c>
      <c r="BI170" s="182" t="s">
        <v>136</v>
      </c>
      <c r="BJ170" s="183">
        <f aca="true" t="shared" si="19" ref="BJ170:BJ175">ROUND(H170*G170,2)</f>
        <v>2735.85</v>
      </c>
      <c r="BK170" s="182" t="s">
        <v>135</v>
      </c>
      <c r="BL170" s="181" t="s">
        <v>219</v>
      </c>
    </row>
    <row r="171" spans="1:64" s="180" customFormat="1" ht="24" customHeight="1">
      <c r="A171" s="166"/>
      <c r="B171" s="167">
        <f t="shared" si="10"/>
        <v>32</v>
      </c>
      <c r="C171" s="167" t="s">
        <v>131</v>
      </c>
      <c r="D171" s="168" t="s">
        <v>220</v>
      </c>
      <c r="E171" s="169" t="s">
        <v>221</v>
      </c>
      <c r="F171" s="170" t="s">
        <v>134</v>
      </c>
      <c r="G171" s="171">
        <f>G221</f>
        <v>7912</v>
      </c>
      <c r="H171" s="172">
        <v>0.29000000000000004</v>
      </c>
      <c r="I171" s="172">
        <f t="shared" si="0"/>
        <v>2294.48</v>
      </c>
      <c r="J171" s="173"/>
      <c r="K171" s="174"/>
      <c r="L171" s="175"/>
      <c r="M171" s="176" t="s">
        <v>39</v>
      </c>
      <c r="N171" s="177">
        <v>0.024</v>
      </c>
      <c r="O171" s="177">
        <f t="shared" si="11"/>
        <v>189.888</v>
      </c>
      <c r="P171" s="177">
        <v>0</v>
      </c>
      <c r="Q171" s="177">
        <f t="shared" si="12"/>
        <v>0</v>
      </c>
      <c r="R171" s="177">
        <v>0</v>
      </c>
      <c r="S171" s="178">
        <f t="shared" si="13"/>
        <v>0</v>
      </c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Q171" s="181" t="s">
        <v>135</v>
      </c>
      <c r="AS171" s="181" t="s">
        <v>131</v>
      </c>
      <c r="AT171" s="181" t="s">
        <v>136</v>
      </c>
      <c r="AX171" s="182" t="s">
        <v>129</v>
      </c>
      <c r="BD171" s="183">
        <f t="shared" si="14"/>
        <v>0</v>
      </c>
      <c r="BE171" s="183">
        <f t="shared" si="15"/>
        <v>2294.48</v>
      </c>
      <c r="BF171" s="183">
        <f t="shared" si="16"/>
        <v>0</v>
      </c>
      <c r="BG171" s="183">
        <f t="shared" si="17"/>
        <v>0</v>
      </c>
      <c r="BH171" s="183">
        <f t="shared" si="18"/>
        <v>0</v>
      </c>
      <c r="BI171" s="182" t="s">
        <v>136</v>
      </c>
      <c r="BJ171" s="183">
        <f t="shared" si="19"/>
        <v>2294.48</v>
      </c>
      <c r="BK171" s="182" t="s">
        <v>135</v>
      </c>
      <c r="BL171" s="181" t="s">
        <v>222</v>
      </c>
    </row>
    <row r="172" spans="1:64" s="180" customFormat="1" ht="24" customHeight="1">
      <c r="A172" s="166"/>
      <c r="B172" s="167">
        <f t="shared" si="10"/>
        <v>33</v>
      </c>
      <c r="C172" s="167" t="s">
        <v>131</v>
      </c>
      <c r="D172" s="168" t="s">
        <v>223</v>
      </c>
      <c r="E172" s="169" t="s">
        <v>224</v>
      </c>
      <c r="F172" s="170" t="s">
        <v>134</v>
      </c>
      <c r="G172" s="171">
        <f>G220</f>
        <v>728</v>
      </c>
      <c r="H172" s="172">
        <v>0.5600000000000002</v>
      </c>
      <c r="I172" s="172">
        <f aca="true" t="shared" si="20" ref="I172:I203">ROUND(H172*G172,2)</f>
        <v>407.68</v>
      </c>
      <c r="J172" s="173"/>
      <c r="K172" s="174"/>
      <c r="L172" s="175"/>
      <c r="M172" s="176" t="s">
        <v>39</v>
      </c>
      <c r="N172" s="177">
        <v>0.047</v>
      </c>
      <c r="O172" s="177">
        <f t="shared" si="11"/>
        <v>34.216</v>
      </c>
      <c r="P172" s="177">
        <v>0</v>
      </c>
      <c r="Q172" s="177">
        <f t="shared" si="12"/>
        <v>0</v>
      </c>
      <c r="R172" s="177">
        <v>0</v>
      </c>
      <c r="S172" s="178">
        <f t="shared" si="13"/>
        <v>0</v>
      </c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Q172" s="181" t="s">
        <v>135</v>
      </c>
      <c r="AS172" s="181" t="s">
        <v>131</v>
      </c>
      <c r="AT172" s="181" t="s">
        <v>136</v>
      </c>
      <c r="AX172" s="182" t="s">
        <v>129</v>
      </c>
      <c r="BD172" s="183">
        <f t="shared" si="14"/>
        <v>0</v>
      </c>
      <c r="BE172" s="183">
        <f t="shared" si="15"/>
        <v>407.68</v>
      </c>
      <c r="BF172" s="183">
        <f t="shared" si="16"/>
        <v>0</v>
      </c>
      <c r="BG172" s="183">
        <f t="shared" si="17"/>
        <v>0</v>
      </c>
      <c r="BH172" s="183">
        <f t="shared" si="18"/>
        <v>0</v>
      </c>
      <c r="BI172" s="182" t="s">
        <v>136</v>
      </c>
      <c r="BJ172" s="183">
        <f t="shared" si="19"/>
        <v>407.68</v>
      </c>
      <c r="BK172" s="182" t="s">
        <v>135</v>
      </c>
      <c r="BL172" s="181" t="s">
        <v>225</v>
      </c>
    </row>
    <row r="173" spans="1:64" s="180" customFormat="1" ht="24" customHeight="1">
      <c r="A173" s="166"/>
      <c r="B173" s="167">
        <f aca="true" t="shared" si="21" ref="B173:B195">B172+1</f>
        <v>34</v>
      </c>
      <c r="C173" s="167" t="s">
        <v>131</v>
      </c>
      <c r="D173" s="168" t="s">
        <v>226</v>
      </c>
      <c r="E173" s="169" t="s">
        <v>227</v>
      </c>
      <c r="F173" s="170" t="s">
        <v>134</v>
      </c>
      <c r="G173" s="171">
        <f>G181</f>
        <v>12</v>
      </c>
      <c r="H173" s="172">
        <v>18.33</v>
      </c>
      <c r="I173" s="172">
        <f t="shared" si="20"/>
        <v>219.96</v>
      </c>
      <c r="J173" s="173"/>
      <c r="K173" s="174"/>
      <c r="L173" s="175"/>
      <c r="M173" s="176" t="s">
        <v>39</v>
      </c>
      <c r="N173" s="177">
        <v>1.315</v>
      </c>
      <c r="O173" s="177">
        <f t="shared" si="11"/>
        <v>15.78</v>
      </c>
      <c r="P173" s="177">
        <v>0</v>
      </c>
      <c r="Q173" s="177">
        <f t="shared" si="12"/>
        <v>0</v>
      </c>
      <c r="R173" s="177">
        <v>0</v>
      </c>
      <c r="S173" s="178">
        <f t="shared" si="13"/>
        <v>0</v>
      </c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Q173" s="181" t="s">
        <v>135</v>
      </c>
      <c r="AS173" s="181" t="s">
        <v>131</v>
      </c>
      <c r="AT173" s="181" t="s">
        <v>136</v>
      </c>
      <c r="AX173" s="182" t="s">
        <v>129</v>
      </c>
      <c r="BD173" s="183">
        <f t="shared" si="14"/>
        <v>0</v>
      </c>
      <c r="BE173" s="183">
        <f t="shared" si="15"/>
        <v>219.96</v>
      </c>
      <c r="BF173" s="183">
        <f t="shared" si="16"/>
        <v>0</v>
      </c>
      <c r="BG173" s="183">
        <f t="shared" si="17"/>
        <v>0</v>
      </c>
      <c r="BH173" s="183">
        <f t="shared" si="18"/>
        <v>0</v>
      </c>
      <c r="BI173" s="182" t="s">
        <v>136</v>
      </c>
      <c r="BJ173" s="183">
        <f t="shared" si="19"/>
        <v>219.96</v>
      </c>
      <c r="BK173" s="182" t="s">
        <v>135</v>
      </c>
      <c r="BL173" s="181" t="s">
        <v>228</v>
      </c>
    </row>
    <row r="174" spans="1:64" s="180" customFormat="1" ht="24" customHeight="1">
      <c r="A174" s="166"/>
      <c r="B174" s="167">
        <f t="shared" si="21"/>
        <v>35</v>
      </c>
      <c r="C174" s="167" t="s">
        <v>131</v>
      </c>
      <c r="D174" s="168" t="s">
        <v>229</v>
      </c>
      <c r="E174" s="169" t="s">
        <v>230</v>
      </c>
      <c r="F174" s="170" t="s">
        <v>134</v>
      </c>
      <c r="G174" s="171">
        <f>G182</f>
        <v>38</v>
      </c>
      <c r="H174" s="172">
        <v>41.57</v>
      </c>
      <c r="I174" s="172">
        <f t="shared" si="20"/>
        <v>1579.66</v>
      </c>
      <c r="J174" s="173"/>
      <c r="K174" s="174"/>
      <c r="L174" s="175"/>
      <c r="M174" s="176" t="s">
        <v>39</v>
      </c>
      <c r="N174" s="177">
        <v>2.947</v>
      </c>
      <c r="O174" s="177">
        <f t="shared" si="11"/>
        <v>111.986</v>
      </c>
      <c r="P174" s="177">
        <v>0</v>
      </c>
      <c r="Q174" s="177">
        <f t="shared" si="12"/>
        <v>0</v>
      </c>
      <c r="R174" s="177">
        <v>0</v>
      </c>
      <c r="S174" s="178">
        <f t="shared" si="13"/>
        <v>0</v>
      </c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Q174" s="181" t="s">
        <v>135</v>
      </c>
      <c r="AS174" s="181" t="s">
        <v>131</v>
      </c>
      <c r="AT174" s="181" t="s">
        <v>136</v>
      </c>
      <c r="AX174" s="182" t="s">
        <v>129</v>
      </c>
      <c r="BD174" s="183">
        <f t="shared" si="14"/>
        <v>0</v>
      </c>
      <c r="BE174" s="183">
        <f t="shared" si="15"/>
        <v>1579.66</v>
      </c>
      <c r="BF174" s="183">
        <f t="shared" si="16"/>
        <v>0</v>
      </c>
      <c r="BG174" s="183">
        <f t="shared" si="17"/>
        <v>0</v>
      </c>
      <c r="BH174" s="183">
        <f t="shared" si="18"/>
        <v>0</v>
      </c>
      <c r="BI174" s="182" t="s">
        <v>136</v>
      </c>
      <c r="BJ174" s="183">
        <f t="shared" si="19"/>
        <v>1579.66</v>
      </c>
      <c r="BK174" s="182" t="s">
        <v>135</v>
      </c>
      <c r="BL174" s="181" t="s">
        <v>231</v>
      </c>
    </row>
    <row r="175" spans="1:64" s="180" customFormat="1" ht="16.5" customHeight="1">
      <c r="A175" s="166"/>
      <c r="B175" s="167">
        <f t="shared" si="21"/>
        <v>36</v>
      </c>
      <c r="C175" s="167" t="s">
        <v>131</v>
      </c>
      <c r="D175" s="168" t="s">
        <v>232</v>
      </c>
      <c r="E175" s="169" t="s">
        <v>233</v>
      </c>
      <c r="F175" s="170" t="s">
        <v>172</v>
      </c>
      <c r="G175" s="171">
        <v>688</v>
      </c>
      <c r="H175" s="172">
        <v>3.25</v>
      </c>
      <c r="I175" s="172">
        <f t="shared" si="20"/>
        <v>2236</v>
      </c>
      <c r="J175" s="173"/>
      <c r="K175" s="174"/>
      <c r="L175" s="175"/>
      <c r="M175" s="176" t="s">
        <v>39</v>
      </c>
      <c r="N175" s="177">
        <v>0</v>
      </c>
      <c r="O175" s="177">
        <f t="shared" si="11"/>
        <v>0</v>
      </c>
      <c r="P175" s="177">
        <v>0</v>
      </c>
      <c r="Q175" s="177">
        <f t="shared" si="12"/>
        <v>0</v>
      </c>
      <c r="R175" s="177">
        <v>0</v>
      </c>
      <c r="S175" s="178">
        <f t="shared" si="13"/>
        <v>0</v>
      </c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Q175" s="181" t="s">
        <v>135</v>
      </c>
      <c r="AS175" s="181" t="s">
        <v>131</v>
      </c>
      <c r="AT175" s="181" t="s">
        <v>136</v>
      </c>
      <c r="AX175" s="182" t="s">
        <v>129</v>
      </c>
      <c r="BD175" s="183">
        <f t="shared" si="14"/>
        <v>0</v>
      </c>
      <c r="BE175" s="183">
        <f t="shared" si="15"/>
        <v>2236</v>
      </c>
      <c r="BF175" s="183">
        <f t="shared" si="16"/>
        <v>0</v>
      </c>
      <c r="BG175" s="183">
        <f t="shared" si="17"/>
        <v>0</v>
      </c>
      <c r="BH175" s="183">
        <f t="shared" si="18"/>
        <v>0</v>
      </c>
      <c r="BI175" s="182" t="s">
        <v>136</v>
      </c>
      <c r="BJ175" s="183">
        <f t="shared" si="19"/>
        <v>2236</v>
      </c>
      <c r="BK175" s="182" t="s">
        <v>135</v>
      </c>
      <c r="BL175" s="181" t="s">
        <v>234</v>
      </c>
    </row>
    <row r="176" spans="1:64" s="180" customFormat="1" ht="16.5" customHeight="1">
      <c r="A176" s="166"/>
      <c r="B176" s="167">
        <f t="shared" si="21"/>
        <v>37</v>
      </c>
      <c r="C176" s="167" t="s">
        <v>131</v>
      </c>
      <c r="D176" s="168" t="s">
        <v>235</v>
      </c>
      <c r="E176" s="169" t="s">
        <v>236</v>
      </c>
      <c r="F176" s="170" t="s">
        <v>172</v>
      </c>
      <c r="G176" s="171">
        <v>94</v>
      </c>
      <c r="H176" s="172">
        <v>3.25</v>
      </c>
      <c r="I176" s="172">
        <f t="shared" si="20"/>
        <v>305.5</v>
      </c>
      <c r="J176" s="173"/>
      <c r="K176" s="174"/>
      <c r="L176" s="175"/>
      <c r="M176" s="176"/>
      <c r="N176" s="177"/>
      <c r="O176" s="177"/>
      <c r="P176" s="177"/>
      <c r="Q176" s="177"/>
      <c r="R176" s="177"/>
      <c r="S176" s="178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Q176" s="181"/>
      <c r="AS176" s="181"/>
      <c r="AT176" s="181"/>
      <c r="AX176" s="182"/>
      <c r="BD176" s="183"/>
      <c r="BE176" s="183"/>
      <c r="BF176" s="183"/>
      <c r="BG176" s="183"/>
      <c r="BH176" s="183"/>
      <c r="BI176" s="182"/>
      <c r="BJ176" s="183"/>
      <c r="BK176" s="182"/>
      <c r="BL176" s="181"/>
    </row>
    <row r="177" spans="1:64" s="180" customFormat="1" ht="24" customHeight="1">
      <c r="A177" s="166"/>
      <c r="B177" s="167">
        <f t="shared" si="21"/>
        <v>38</v>
      </c>
      <c r="C177" s="167" t="s">
        <v>131</v>
      </c>
      <c r="D177" s="168" t="s">
        <v>237</v>
      </c>
      <c r="E177" s="169" t="s">
        <v>238</v>
      </c>
      <c r="F177" s="170" t="s">
        <v>172</v>
      </c>
      <c r="G177" s="171">
        <f>G170</f>
        <v>11895</v>
      </c>
      <c r="H177" s="172">
        <v>0.09</v>
      </c>
      <c r="I177" s="172">
        <f t="shared" si="20"/>
        <v>1070.55</v>
      </c>
      <c r="J177" s="173"/>
      <c r="K177" s="174"/>
      <c r="L177" s="175"/>
      <c r="M177" s="176" t="s">
        <v>39</v>
      </c>
      <c r="N177" s="177">
        <v>0.002</v>
      </c>
      <c r="O177" s="177">
        <f aca="true" t="shared" si="22" ref="O177:O195">N177*G177</f>
        <v>23.79</v>
      </c>
      <c r="P177" s="177">
        <v>0</v>
      </c>
      <c r="Q177" s="177">
        <f aca="true" t="shared" si="23" ref="Q177:Q195">P177*G177</f>
        <v>0</v>
      </c>
      <c r="R177" s="177">
        <v>0</v>
      </c>
      <c r="S177" s="178">
        <f aca="true" t="shared" si="24" ref="S177:S195">R177*G177</f>
        <v>0</v>
      </c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Q177" s="181" t="s">
        <v>135</v>
      </c>
      <c r="AS177" s="181" t="s">
        <v>131</v>
      </c>
      <c r="AT177" s="181" t="s">
        <v>136</v>
      </c>
      <c r="AX177" s="182" t="s">
        <v>129</v>
      </c>
      <c r="BD177" s="183">
        <f aca="true" t="shared" si="25" ref="BD177:BD195">IF(M177="základná",I177,0)</f>
        <v>0</v>
      </c>
      <c r="BE177" s="183">
        <f aca="true" t="shared" si="26" ref="BE177:BE195">IF(M177="znížená",I177,0)</f>
        <v>1070.55</v>
      </c>
      <c r="BF177" s="183">
        <f aca="true" t="shared" si="27" ref="BF177:BF195">IF(M177="zákl. prenesená",I177,0)</f>
        <v>0</v>
      </c>
      <c r="BG177" s="183">
        <f aca="true" t="shared" si="28" ref="BG177:BG195">IF(M177="zníž. prenesená",I177,0)</f>
        <v>0</v>
      </c>
      <c r="BH177" s="183">
        <f aca="true" t="shared" si="29" ref="BH177:BH195">IF(M177="nulová",I177,0)</f>
        <v>0</v>
      </c>
      <c r="BI177" s="182" t="s">
        <v>136</v>
      </c>
      <c r="BJ177" s="183">
        <f aca="true" t="shared" si="30" ref="BJ177:BJ195">ROUND(H177*G177,2)</f>
        <v>1070.55</v>
      </c>
      <c r="BK177" s="182" t="s">
        <v>135</v>
      </c>
      <c r="BL177" s="181" t="s">
        <v>239</v>
      </c>
    </row>
    <row r="178" spans="1:64" s="180" customFormat="1" ht="24" customHeight="1">
      <c r="A178" s="166"/>
      <c r="B178" s="167">
        <f t="shared" si="21"/>
        <v>39</v>
      </c>
      <c r="C178" s="167" t="s">
        <v>131</v>
      </c>
      <c r="D178" s="168" t="s">
        <v>240</v>
      </c>
      <c r="E178" s="169" t="s">
        <v>241</v>
      </c>
      <c r="F178" s="170" t="s">
        <v>172</v>
      </c>
      <c r="G178" s="171">
        <f>G170</f>
        <v>11895</v>
      </c>
      <c r="H178" s="172">
        <v>0.05</v>
      </c>
      <c r="I178" s="172">
        <f t="shared" si="20"/>
        <v>594.75</v>
      </c>
      <c r="J178" s="173"/>
      <c r="K178" s="174"/>
      <c r="L178" s="175"/>
      <c r="M178" s="176" t="s">
        <v>39</v>
      </c>
      <c r="N178" s="177">
        <v>0.001</v>
      </c>
      <c r="O178" s="177">
        <f t="shared" si="22"/>
        <v>11.895</v>
      </c>
      <c r="P178" s="177">
        <v>0</v>
      </c>
      <c r="Q178" s="177">
        <f t="shared" si="23"/>
        <v>0</v>
      </c>
      <c r="R178" s="177">
        <v>0</v>
      </c>
      <c r="S178" s="178">
        <f t="shared" si="24"/>
        <v>0</v>
      </c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Q178" s="181" t="s">
        <v>135</v>
      </c>
      <c r="AS178" s="181" t="s">
        <v>131</v>
      </c>
      <c r="AT178" s="181" t="s">
        <v>136</v>
      </c>
      <c r="AX178" s="182" t="s">
        <v>129</v>
      </c>
      <c r="BD178" s="183">
        <f t="shared" si="25"/>
        <v>0</v>
      </c>
      <c r="BE178" s="183">
        <f t="shared" si="26"/>
        <v>594.75</v>
      </c>
      <c r="BF178" s="183">
        <f t="shared" si="27"/>
        <v>0</v>
      </c>
      <c r="BG178" s="183">
        <f t="shared" si="28"/>
        <v>0</v>
      </c>
      <c r="BH178" s="183">
        <f t="shared" si="29"/>
        <v>0</v>
      </c>
      <c r="BI178" s="182" t="s">
        <v>136</v>
      </c>
      <c r="BJ178" s="183">
        <f t="shared" si="30"/>
        <v>594.75</v>
      </c>
      <c r="BK178" s="182" t="s">
        <v>135</v>
      </c>
      <c r="BL178" s="181" t="s">
        <v>242</v>
      </c>
    </row>
    <row r="179" spans="1:64" s="180" customFormat="1" ht="24" customHeight="1">
      <c r="A179" s="166"/>
      <c r="B179" s="167">
        <f t="shared" si="21"/>
        <v>40</v>
      </c>
      <c r="C179" s="167" t="s">
        <v>131</v>
      </c>
      <c r="D179" s="168" t="s">
        <v>243</v>
      </c>
      <c r="E179" s="169" t="s">
        <v>244</v>
      </c>
      <c r="F179" s="170" t="s">
        <v>182</v>
      </c>
      <c r="G179" s="171">
        <v>4</v>
      </c>
      <c r="H179" s="172">
        <v>31.1</v>
      </c>
      <c r="I179" s="172">
        <f t="shared" si="20"/>
        <v>124.4</v>
      </c>
      <c r="J179" s="173"/>
      <c r="K179" s="174"/>
      <c r="L179" s="175"/>
      <c r="M179" s="176" t="s">
        <v>39</v>
      </c>
      <c r="N179" s="177">
        <v>0</v>
      </c>
      <c r="O179" s="177">
        <f t="shared" si="22"/>
        <v>0</v>
      </c>
      <c r="P179" s="177">
        <v>0</v>
      </c>
      <c r="Q179" s="177">
        <f t="shared" si="23"/>
        <v>0</v>
      </c>
      <c r="R179" s="177">
        <v>0</v>
      </c>
      <c r="S179" s="178">
        <f t="shared" si="24"/>
        <v>0</v>
      </c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Q179" s="181" t="s">
        <v>135</v>
      </c>
      <c r="AS179" s="181" t="s">
        <v>131</v>
      </c>
      <c r="AT179" s="181" t="s">
        <v>136</v>
      </c>
      <c r="AX179" s="182" t="s">
        <v>129</v>
      </c>
      <c r="BD179" s="183">
        <f t="shared" si="25"/>
        <v>0</v>
      </c>
      <c r="BE179" s="183">
        <f t="shared" si="26"/>
        <v>124.4</v>
      </c>
      <c r="BF179" s="183">
        <f t="shared" si="27"/>
        <v>0</v>
      </c>
      <c r="BG179" s="183">
        <f t="shared" si="28"/>
        <v>0</v>
      </c>
      <c r="BH179" s="183">
        <f t="shared" si="29"/>
        <v>0</v>
      </c>
      <c r="BI179" s="182" t="s">
        <v>136</v>
      </c>
      <c r="BJ179" s="183">
        <f t="shared" si="30"/>
        <v>124.4</v>
      </c>
      <c r="BK179" s="182" t="s">
        <v>135</v>
      </c>
      <c r="BL179" s="181" t="s">
        <v>245</v>
      </c>
    </row>
    <row r="180" spans="1:64" s="180" customFormat="1" ht="16.5" customHeight="1">
      <c r="A180" s="166"/>
      <c r="B180" s="167">
        <f t="shared" si="21"/>
        <v>41</v>
      </c>
      <c r="C180" s="185" t="s">
        <v>193</v>
      </c>
      <c r="D180" s="186" t="s">
        <v>246</v>
      </c>
      <c r="E180" s="187" t="s">
        <v>247</v>
      </c>
      <c r="F180" s="188" t="s">
        <v>196</v>
      </c>
      <c r="G180" s="189">
        <v>0.2</v>
      </c>
      <c r="H180" s="190">
        <v>13.04</v>
      </c>
      <c r="I180" s="190">
        <f t="shared" si="20"/>
        <v>2.61</v>
      </c>
      <c r="J180" s="191"/>
      <c r="K180" s="192"/>
      <c r="L180" s="193"/>
      <c r="M180" s="194" t="s">
        <v>39</v>
      </c>
      <c r="N180" s="177">
        <v>0</v>
      </c>
      <c r="O180" s="177">
        <f t="shared" si="22"/>
        <v>0</v>
      </c>
      <c r="P180" s="177">
        <v>0</v>
      </c>
      <c r="Q180" s="177">
        <f t="shared" si="23"/>
        <v>0</v>
      </c>
      <c r="R180" s="177">
        <v>0</v>
      </c>
      <c r="S180" s="178">
        <f t="shared" si="24"/>
        <v>0</v>
      </c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Q180" s="181" t="s">
        <v>197</v>
      </c>
      <c r="AS180" s="181" t="s">
        <v>193</v>
      </c>
      <c r="AT180" s="181" t="s">
        <v>136</v>
      </c>
      <c r="AX180" s="182" t="s">
        <v>129</v>
      </c>
      <c r="BD180" s="183">
        <f t="shared" si="25"/>
        <v>0</v>
      </c>
      <c r="BE180" s="183">
        <f t="shared" si="26"/>
        <v>2.61</v>
      </c>
      <c r="BF180" s="183">
        <f t="shared" si="27"/>
        <v>0</v>
      </c>
      <c r="BG180" s="183">
        <f t="shared" si="28"/>
        <v>0</v>
      </c>
      <c r="BH180" s="183">
        <f t="shared" si="29"/>
        <v>0</v>
      </c>
      <c r="BI180" s="182" t="s">
        <v>136</v>
      </c>
      <c r="BJ180" s="183">
        <f t="shared" si="30"/>
        <v>2.61</v>
      </c>
      <c r="BK180" s="182" t="s">
        <v>135</v>
      </c>
      <c r="BL180" s="181" t="s">
        <v>248</v>
      </c>
    </row>
    <row r="181" spans="1:64" s="180" customFormat="1" ht="33" customHeight="1">
      <c r="A181" s="166"/>
      <c r="B181" s="167">
        <f t="shared" si="21"/>
        <v>42</v>
      </c>
      <c r="C181" s="167" t="s">
        <v>131</v>
      </c>
      <c r="D181" s="168" t="s">
        <v>249</v>
      </c>
      <c r="E181" s="169" t="s">
        <v>250</v>
      </c>
      <c r="F181" s="170" t="s">
        <v>134</v>
      </c>
      <c r="G181" s="171">
        <v>12</v>
      </c>
      <c r="H181" s="172">
        <v>3.27</v>
      </c>
      <c r="I181" s="172">
        <f t="shared" si="20"/>
        <v>39.24</v>
      </c>
      <c r="J181" s="173"/>
      <c r="K181" s="174"/>
      <c r="L181" s="175"/>
      <c r="M181" s="176" t="s">
        <v>39</v>
      </c>
      <c r="N181" s="177">
        <v>0.27007000000000003</v>
      </c>
      <c r="O181" s="177">
        <f t="shared" si="22"/>
        <v>3.2408400000000004</v>
      </c>
      <c r="P181" s="177">
        <v>0</v>
      </c>
      <c r="Q181" s="177">
        <f t="shared" si="23"/>
        <v>0</v>
      </c>
      <c r="R181" s="177">
        <v>0</v>
      </c>
      <c r="S181" s="178">
        <f t="shared" si="24"/>
        <v>0</v>
      </c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Q181" s="181" t="s">
        <v>135</v>
      </c>
      <c r="AS181" s="181" t="s">
        <v>131</v>
      </c>
      <c r="AT181" s="181" t="s">
        <v>136</v>
      </c>
      <c r="AX181" s="182" t="s">
        <v>129</v>
      </c>
      <c r="BD181" s="183">
        <f t="shared" si="25"/>
        <v>0</v>
      </c>
      <c r="BE181" s="183">
        <f t="shared" si="26"/>
        <v>39.24</v>
      </c>
      <c r="BF181" s="183">
        <f t="shared" si="27"/>
        <v>0</v>
      </c>
      <c r="BG181" s="183">
        <f t="shared" si="28"/>
        <v>0</v>
      </c>
      <c r="BH181" s="183">
        <f t="shared" si="29"/>
        <v>0</v>
      </c>
      <c r="BI181" s="182" t="s">
        <v>136</v>
      </c>
      <c r="BJ181" s="183">
        <f t="shared" si="30"/>
        <v>39.24</v>
      </c>
      <c r="BK181" s="182" t="s">
        <v>135</v>
      </c>
      <c r="BL181" s="181" t="s">
        <v>251</v>
      </c>
    </row>
    <row r="182" spans="1:64" s="180" customFormat="1" ht="33" customHeight="1">
      <c r="A182" s="166"/>
      <c r="B182" s="167">
        <f t="shared" si="21"/>
        <v>43</v>
      </c>
      <c r="C182" s="167" t="s">
        <v>131</v>
      </c>
      <c r="D182" s="168" t="s">
        <v>252</v>
      </c>
      <c r="E182" s="169" t="s">
        <v>253</v>
      </c>
      <c r="F182" s="170" t="s">
        <v>134</v>
      </c>
      <c r="G182" s="171">
        <f>G202</f>
        <v>38</v>
      </c>
      <c r="H182" s="172">
        <v>42.91</v>
      </c>
      <c r="I182" s="172">
        <f t="shared" si="20"/>
        <v>1630.58</v>
      </c>
      <c r="J182" s="173"/>
      <c r="K182" s="174"/>
      <c r="L182" s="175"/>
      <c r="M182" s="176" t="s">
        <v>39</v>
      </c>
      <c r="N182" s="177">
        <v>3.058</v>
      </c>
      <c r="O182" s="177">
        <f t="shared" si="22"/>
        <v>116.204</v>
      </c>
      <c r="P182" s="177">
        <v>0</v>
      </c>
      <c r="Q182" s="177">
        <f t="shared" si="23"/>
        <v>0</v>
      </c>
      <c r="R182" s="177">
        <v>0</v>
      </c>
      <c r="S182" s="178">
        <f t="shared" si="24"/>
        <v>0</v>
      </c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Q182" s="181" t="s">
        <v>135</v>
      </c>
      <c r="AS182" s="181" t="s">
        <v>131</v>
      </c>
      <c r="AT182" s="181" t="s">
        <v>136</v>
      </c>
      <c r="AX182" s="182" t="s">
        <v>129</v>
      </c>
      <c r="BD182" s="183">
        <f t="shared" si="25"/>
        <v>0</v>
      </c>
      <c r="BE182" s="183">
        <f t="shared" si="26"/>
        <v>1630.58</v>
      </c>
      <c r="BF182" s="183">
        <f t="shared" si="27"/>
        <v>0</v>
      </c>
      <c r="BG182" s="183">
        <f t="shared" si="28"/>
        <v>0</v>
      </c>
      <c r="BH182" s="183">
        <f t="shared" si="29"/>
        <v>0</v>
      </c>
      <c r="BI182" s="182" t="s">
        <v>136</v>
      </c>
      <c r="BJ182" s="183">
        <f t="shared" si="30"/>
        <v>1630.58</v>
      </c>
      <c r="BK182" s="182" t="s">
        <v>135</v>
      </c>
      <c r="BL182" s="181" t="s">
        <v>254</v>
      </c>
    </row>
    <row r="183" spans="1:64" s="180" customFormat="1" ht="33" customHeight="1">
      <c r="A183" s="166"/>
      <c r="B183" s="167">
        <f t="shared" si="21"/>
        <v>44</v>
      </c>
      <c r="C183" s="167" t="s">
        <v>131</v>
      </c>
      <c r="D183" s="168" t="s">
        <v>255</v>
      </c>
      <c r="E183" s="169" t="s">
        <v>256</v>
      </c>
      <c r="F183" s="170" t="s">
        <v>134</v>
      </c>
      <c r="G183" s="171">
        <v>2</v>
      </c>
      <c r="H183" s="172">
        <v>8.85</v>
      </c>
      <c r="I183" s="172">
        <f t="shared" si="20"/>
        <v>17.7</v>
      </c>
      <c r="J183" s="173"/>
      <c r="K183" s="174"/>
      <c r="L183" s="175"/>
      <c r="M183" s="176" t="s">
        <v>39</v>
      </c>
      <c r="N183" s="177">
        <v>0.52419</v>
      </c>
      <c r="O183" s="177">
        <f t="shared" si="22"/>
        <v>1.04838</v>
      </c>
      <c r="P183" s="177">
        <v>0</v>
      </c>
      <c r="Q183" s="177">
        <f t="shared" si="23"/>
        <v>0</v>
      </c>
      <c r="R183" s="177">
        <v>0</v>
      </c>
      <c r="S183" s="178">
        <f t="shared" si="24"/>
        <v>0</v>
      </c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Q183" s="181" t="s">
        <v>135</v>
      </c>
      <c r="AS183" s="181" t="s">
        <v>131</v>
      </c>
      <c r="AT183" s="181" t="s">
        <v>136</v>
      </c>
      <c r="AX183" s="182" t="s">
        <v>129</v>
      </c>
      <c r="BD183" s="183">
        <f t="shared" si="25"/>
        <v>0</v>
      </c>
      <c r="BE183" s="183">
        <f t="shared" si="26"/>
        <v>17.7</v>
      </c>
      <c r="BF183" s="183">
        <f t="shared" si="27"/>
        <v>0</v>
      </c>
      <c r="BG183" s="183">
        <f t="shared" si="28"/>
        <v>0</v>
      </c>
      <c r="BH183" s="183">
        <f t="shared" si="29"/>
        <v>0</v>
      </c>
      <c r="BI183" s="182" t="s">
        <v>136</v>
      </c>
      <c r="BJ183" s="183">
        <f t="shared" si="30"/>
        <v>17.7</v>
      </c>
      <c r="BK183" s="182" t="s">
        <v>135</v>
      </c>
      <c r="BL183" s="181" t="s">
        <v>257</v>
      </c>
    </row>
    <row r="184" spans="1:64" s="180" customFormat="1" ht="44.25" customHeight="1">
      <c r="A184" s="166"/>
      <c r="B184" s="167">
        <f t="shared" si="21"/>
        <v>45</v>
      </c>
      <c r="C184" s="167" t="s">
        <v>131</v>
      </c>
      <c r="D184" s="168" t="s">
        <v>258</v>
      </c>
      <c r="E184" s="169" t="s">
        <v>259</v>
      </c>
      <c r="F184" s="170" t="s">
        <v>134</v>
      </c>
      <c r="G184" s="171">
        <f>G202</f>
        <v>38</v>
      </c>
      <c r="H184" s="172">
        <v>12.6</v>
      </c>
      <c r="I184" s="172">
        <f t="shared" si="20"/>
        <v>478.8</v>
      </c>
      <c r="J184" s="173"/>
      <c r="K184" s="174"/>
      <c r="L184" s="175"/>
      <c r="M184" s="176" t="s">
        <v>39</v>
      </c>
      <c r="N184" s="177">
        <v>0.8620000000000001</v>
      </c>
      <c r="O184" s="177">
        <f t="shared" si="22"/>
        <v>32.756</v>
      </c>
      <c r="P184" s="177">
        <v>0.00048</v>
      </c>
      <c r="Q184" s="177">
        <f t="shared" si="23"/>
        <v>0.01824</v>
      </c>
      <c r="R184" s="177">
        <v>0</v>
      </c>
      <c r="S184" s="178">
        <f t="shared" si="24"/>
        <v>0</v>
      </c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Q184" s="181" t="s">
        <v>135</v>
      </c>
      <c r="AS184" s="181" t="s">
        <v>131</v>
      </c>
      <c r="AT184" s="181" t="s">
        <v>136</v>
      </c>
      <c r="AX184" s="182" t="s">
        <v>129</v>
      </c>
      <c r="BD184" s="183">
        <f t="shared" si="25"/>
        <v>0</v>
      </c>
      <c r="BE184" s="183">
        <f t="shared" si="26"/>
        <v>478.8</v>
      </c>
      <c r="BF184" s="183">
        <f t="shared" si="27"/>
        <v>0</v>
      </c>
      <c r="BG184" s="183">
        <f t="shared" si="28"/>
        <v>0</v>
      </c>
      <c r="BH184" s="183">
        <f t="shared" si="29"/>
        <v>0</v>
      </c>
      <c r="BI184" s="182" t="s">
        <v>136</v>
      </c>
      <c r="BJ184" s="183">
        <f t="shared" si="30"/>
        <v>478.8</v>
      </c>
      <c r="BK184" s="182" t="s">
        <v>135</v>
      </c>
      <c r="BL184" s="181" t="s">
        <v>260</v>
      </c>
    </row>
    <row r="185" spans="1:64" s="180" customFormat="1" ht="16.5" customHeight="1">
      <c r="A185" s="166"/>
      <c r="B185" s="167">
        <f t="shared" si="21"/>
        <v>46</v>
      </c>
      <c r="C185" s="185" t="s">
        <v>193</v>
      </c>
      <c r="D185" s="186" t="s">
        <v>261</v>
      </c>
      <c r="E185" s="187" t="s">
        <v>262</v>
      </c>
      <c r="F185" s="188" t="s">
        <v>134</v>
      </c>
      <c r="G185" s="189">
        <f>G202*3</f>
        <v>114</v>
      </c>
      <c r="H185" s="190">
        <v>7.19</v>
      </c>
      <c r="I185" s="190">
        <f t="shared" si="20"/>
        <v>819.66</v>
      </c>
      <c r="J185" s="191"/>
      <c r="K185" s="192"/>
      <c r="L185" s="193"/>
      <c r="M185" s="194" t="s">
        <v>39</v>
      </c>
      <c r="N185" s="177">
        <v>0</v>
      </c>
      <c r="O185" s="177">
        <f t="shared" si="22"/>
        <v>0</v>
      </c>
      <c r="P185" s="177">
        <v>0</v>
      </c>
      <c r="Q185" s="177">
        <f t="shared" si="23"/>
        <v>0</v>
      </c>
      <c r="R185" s="177">
        <v>0</v>
      </c>
      <c r="S185" s="178">
        <f t="shared" si="24"/>
        <v>0</v>
      </c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Q185" s="181" t="s">
        <v>197</v>
      </c>
      <c r="AS185" s="181" t="s">
        <v>193</v>
      </c>
      <c r="AT185" s="181" t="s">
        <v>136</v>
      </c>
      <c r="AX185" s="182" t="s">
        <v>129</v>
      </c>
      <c r="BD185" s="183">
        <f t="shared" si="25"/>
        <v>0</v>
      </c>
      <c r="BE185" s="183">
        <f t="shared" si="26"/>
        <v>819.66</v>
      </c>
      <c r="BF185" s="183">
        <f t="shared" si="27"/>
        <v>0</v>
      </c>
      <c r="BG185" s="183">
        <f t="shared" si="28"/>
        <v>0</v>
      </c>
      <c r="BH185" s="183">
        <f t="shared" si="29"/>
        <v>0</v>
      </c>
      <c r="BI185" s="182" t="s">
        <v>136</v>
      </c>
      <c r="BJ185" s="183">
        <f t="shared" si="30"/>
        <v>819.66</v>
      </c>
      <c r="BK185" s="182" t="s">
        <v>135</v>
      </c>
      <c r="BL185" s="181" t="s">
        <v>263</v>
      </c>
    </row>
    <row r="186" spans="1:64" s="180" customFormat="1" ht="16.5" customHeight="1">
      <c r="A186" s="166"/>
      <c r="B186" s="167">
        <f t="shared" si="21"/>
        <v>47</v>
      </c>
      <c r="C186" s="185" t="s">
        <v>193</v>
      </c>
      <c r="D186" s="186" t="s">
        <v>264</v>
      </c>
      <c r="E186" s="187" t="s">
        <v>265</v>
      </c>
      <c r="F186" s="188" t="s">
        <v>134</v>
      </c>
      <c r="G186" s="189">
        <v>4</v>
      </c>
      <c r="H186" s="190">
        <v>5.67</v>
      </c>
      <c r="I186" s="190">
        <f t="shared" si="20"/>
        <v>22.68</v>
      </c>
      <c r="J186" s="191"/>
      <c r="K186" s="192"/>
      <c r="L186" s="193"/>
      <c r="M186" s="194" t="s">
        <v>39</v>
      </c>
      <c r="N186" s="177">
        <v>0</v>
      </c>
      <c r="O186" s="177">
        <f t="shared" si="22"/>
        <v>0</v>
      </c>
      <c r="P186" s="177">
        <v>0</v>
      </c>
      <c r="Q186" s="177">
        <f t="shared" si="23"/>
        <v>0</v>
      </c>
      <c r="R186" s="177">
        <v>0</v>
      </c>
      <c r="S186" s="178">
        <f t="shared" si="24"/>
        <v>0</v>
      </c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Q186" s="181" t="s">
        <v>197</v>
      </c>
      <c r="AS186" s="181" t="s">
        <v>193</v>
      </c>
      <c r="AT186" s="181" t="s">
        <v>136</v>
      </c>
      <c r="AX186" s="182" t="s">
        <v>129</v>
      </c>
      <c r="BD186" s="183">
        <f t="shared" si="25"/>
        <v>0</v>
      </c>
      <c r="BE186" s="183">
        <f t="shared" si="26"/>
        <v>22.68</v>
      </c>
      <c r="BF186" s="183">
        <f t="shared" si="27"/>
        <v>0</v>
      </c>
      <c r="BG186" s="183">
        <f t="shared" si="28"/>
        <v>0</v>
      </c>
      <c r="BH186" s="183">
        <f t="shared" si="29"/>
        <v>0</v>
      </c>
      <c r="BI186" s="182" t="s">
        <v>136</v>
      </c>
      <c r="BJ186" s="183">
        <f t="shared" si="30"/>
        <v>22.68</v>
      </c>
      <c r="BK186" s="182" t="s">
        <v>135</v>
      </c>
      <c r="BL186" s="181" t="s">
        <v>266</v>
      </c>
    </row>
    <row r="187" spans="1:64" s="180" customFormat="1" ht="16.5" customHeight="1">
      <c r="A187" s="166"/>
      <c r="B187" s="167">
        <f t="shared" si="21"/>
        <v>48</v>
      </c>
      <c r="C187" s="167" t="s">
        <v>131</v>
      </c>
      <c r="D187" s="168" t="s">
        <v>267</v>
      </c>
      <c r="E187" s="169" t="s">
        <v>268</v>
      </c>
      <c r="F187" s="170" t="s">
        <v>134</v>
      </c>
      <c r="G187" s="171">
        <v>210</v>
      </c>
      <c r="H187" s="172">
        <v>140</v>
      </c>
      <c r="I187" s="172">
        <f t="shared" si="20"/>
        <v>29400</v>
      </c>
      <c r="J187" s="173"/>
      <c r="K187" s="174"/>
      <c r="L187" s="175"/>
      <c r="M187" s="176" t="s">
        <v>39</v>
      </c>
      <c r="N187" s="177">
        <v>0.23700000000000002</v>
      </c>
      <c r="O187" s="177">
        <f t="shared" si="22"/>
        <v>49.77</v>
      </c>
      <c r="P187" s="177">
        <v>0</v>
      </c>
      <c r="Q187" s="177">
        <f t="shared" si="23"/>
        <v>0</v>
      </c>
      <c r="R187" s="177">
        <v>0</v>
      </c>
      <c r="S187" s="178">
        <f t="shared" si="24"/>
        <v>0</v>
      </c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Q187" s="181" t="s">
        <v>135</v>
      </c>
      <c r="AS187" s="181" t="s">
        <v>131</v>
      </c>
      <c r="AT187" s="181" t="s">
        <v>136</v>
      </c>
      <c r="AX187" s="182" t="s">
        <v>129</v>
      </c>
      <c r="BD187" s="183">
        <f t="shared" si="25"/>
        <v>0</v>
      </c>
      <c r="BE187" s="183">
        <f t="shared" si="26"/>
        <v>29400</v>
      </c>
      <c r="BF187" s="183">
        <f t="shared" si="27"/>
        <v>0</v>
      </c>
      <c r="BG187" s="183">
        <f t="shared" si="28"/>
        <v>0</v>
      </c>
      <c r="BH187" s="183">
        <f t="shared" si="29"/>
        <v>0</v>
      </c>
      <c r="BI187" s="182" t="s">
        <v>136</v>
      </c>
      <c r="BJ187" s="183">
        <f t="shared" si="30"/>
        <v>29400</v>
      </c>
      <c r="BK187" s="182" t="s">
        <v>135</v>
      </c>
      <c r="BL187" s="181" t="s">
        <v>269</v>
      </c>
    </row>
    <row r="188" spans="1:64" s="180" customFormat="1" ht="24" customHeight="1">
      <c r="A188" s="166"/>
      <c r="B188" s="167">
        <f t="shared" si="21"/>
        <v>49</v>
      </c>
      <c r="C188" s="167" t="s">
        <v>131</v>
      </c>
      <c r="D188" s="168" t="s">
        <v>270</v>
      </c>
      <c r="E188" s="169" t="s">
        <v>271</v>
      </c>
      <c r="F188" s="170" t="s">
        <v>172</v>
      </c>
      <c r="G188" s="171">
        <v>400</v>
      </c>
      <c r="H188" s="172">
        <v>1.14</v>
      </c>
      <c r="I188" s="172">
        <f t="shared" si="20"/>
        <v>456</v>
      </c>
      <c r="J188" s="173"/>
      <c r="K188" s="174"/>
      <c r="L188" s="175"/>
      <c r="M188" s="176" t="s">
        <v>39</v>
      </c>
      <c r="N188" s="177">
        <v>0.0835</v>
      </c>
      <c r="O188" s="177">
        <f t="shared" si="22"/>
        <v>33.4</v>
      </c>
      <c r="P188" s="177">
        <v>0</v>
      </c>
      <c r="Q188" s="177">
        <f t="shared" si="23"/>
        <v>0</v>
      </c>
      <c r="R188" s="177">
        <v>0</v>
      </c>
      <c r="S188" s="178">
        <f t="shared" si="24"/>
        <v>0</v>
      </c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Q188" s="181" t="s">
        <v>135</v>
      </c>
      <c r="AS188" s="181" t="s">
        <v>131</v>
      </c>
      <c r="AT188" s="181" t="s">
        <v>136</v>
      </c>
      <c r="AX188" s="182" t="s">
        <v>129</v>
      </c>
      <c r="BD188" s="183">
        <f t="shared" si="25"/>
        <v>0</v>
      </c>
      <c r="BE188" s="183">
        <f t="shared" si="26"/>
        <v>456</v>
      </c>
      <c r="BF188" s="183">
        <f t="shared" si="27"/>
        <v>0</v>
      </c>
      <c r="BG188" s="183">
        <f t="shared" si="28"/>
        <v>0</v>
      </c>
      <c r="BH188" s="183">
        <f t="shared" si="29"/>
        <v>0</v>
      </c>
      <c r="BI188" s="182" t="s">
        <v>136</v>
      </c>
      <c r="BJ188" s="183">
        <f t="shared" si="30"/>
        <v>456</v>
      </c>
      <c r="BK188" s="182" t="s">
        <v>135</v>
      </c>
      <c r="BL188" s="181" t="s">
        <v>272</v>
      </c>
    </row>
    <row r="189" spans="1:64" s="180" customFormat="1" ht="16.5" customHeight="1">
      <c r="A189" s="166"/>
      <c r="B189" s="167">
        <f t="shared" si="21"/>
        <v>50</v>
      </c>
      <c r="C189" s="185" t="s">
        <v>193</v>
      </c>
      <c r="D189" s="186" t="s">
        <v>273</v>
      </c>
      <c r="E189" s="187" t="s">
        <v>274</v>
      </c>
      <c r="F189" s="188" t="s">
        <v>182</v>
      </c>
      <c r="G189" s="189">
        <v>32</v>
      </c>
      <c r="H189" s="190">
        <v>55</v>
      </c>
      <c r="I189" s="190">
        <f t="shared" si="20"/>
        <v>1760</v>
      </c>
      <c r="J189" s="191"/>
      <c r="K189" s="192"/>
      <c r="L189" s="193"/>
      <c r="M189" s="194" t="s">
        <v>39</v>
      </c>
      <c r="N189" s="177">
        <v>0</v>
      </c>
      <c r="O189" s="177">
        <f t="shared" si="22"/>
        <v>0</v>
      </c>
      <c r="P189" s="177">
        <v>0</v>
      </c>
      <c r="Q189" s="177">
        <f t="shared" si="23"/>
        <v>0</v>
      </c>
      <c r="R189" s="177">
        <v>0</v>
      </c>
      <c r="S189" s="178">
        <f t="shared" si="24"/>
        <v>0</v>
      </c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Q189" s="181" t="s">
        <v>197</v>
      </c>
      <c r="AS189" s="181" t="s">
        <v>193</v>
      </c>
      <c r="AT189" s="181" t="s">
        <v>136</v>
      </c>
      <c r="AX189" s="182" t="s">
        <v>129</v>
      </c>
      <c r="BD189" s="183">
        <f t="shared" si="25"/>
        <v>0</v>
      </c>
      <c r="BE189" s="183">
        <f t="shared" si="26"/>
        <v>1760</v>
      </c>
      <c r="BF189" s="183">
        <f t="shared" si="27"/>
        <v>0</v>
      </c>
      <c r="BG189" s="183">
        <f t="shared" si="28"/>
        <v>0</v>
      </c>
      <c r="BH189" s="183">
        <f t="shared" si="29"/>
        <v>0</v>
      </c>
      <c r="BI189" s="182" t="s">
        <v>136</v>
      </c>
      <c r="BJ189" s="183">
        <f t="shared" si="30"/>
        <v>1760</v>
      </c>
      <c r="BK189" s="182" t="s">
        <v>135</v>
      </c>
      <c r="BL189" s="181" t="s">
        <v>275</v>
      </c>
    </row>
    <row r="190" spans="1:64" s="180" customFormat="1" ht="44.25" customHeight="1">
      <c r="A190" s="166"/>
      <c r="B190" s="167">
        <f t="shared" si="21"/>
        <v>51</v>
      </c>
      <c r="C190" s="167" t="s">
        <v>131</v>
      </c>
      <c r="D190" s="168" t="s">
        <v>276</v>
      </c>
      <c r="E190" s="169" t="s">
        <v>277</v>
      </c>
      <c r="F190" s="170" t="s">
        <v>172</v>
      </c>
      <c r="G190" s="171">
        <f>G164</f>
        <v>7740</v>
      </c>
      <c r="H190" s="172">
        <v>0.17</v>
      </c>
      <c r="I190" s="172">
        <f t="shared" si="20"/>
        <v>1315.8</v>
      </c>
      <c r="J190" s="173"/>
      <c r="K190" s="174"/>
      <c r="L190" s="175"/>
      <c r="M190" s="176" t="s">
        <v>39</v>
      </c>
      <c r="N190" s="177">
        <v>0.012240000000000001</v>
      </c>
      <c r="O190" s="177">
        <f t="shared" si="22"/>
        <v>94.7376</v>
      </c>
      <c r="P190" s="177">
        <v>0</v>
      </c>
      <c r="Q190" s="177">
        <f t="shared" si="23"/>
        <v>0</v>
      </c>
      <c r="R190" s="177">
        <v>0</v>
      </c>
      <c r="S190" s="178">
        <f t="shared" si="24"/>
        <v>0</v>
      </c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Q190" s="181" t="s">
        <v>135</v>
      </c>
      <c r="AS190" s="181" t="s">
        <v>131</v>
      </c>
      <c r="AT190" s="181" t="s">
        <v>136</v>
      </c>
      <c r="AX190" s="182" t="s">
        <v>129</v>
      </c>
      <c r="BD190" s="183">
        <f t="shared" si="25"/>
        <v>0</v>
      </c>
      <c r="BE190" s="183">
        <f t="shared" si="26"/>
        <v>1315.8</v>
      </c>
      <c r="BF190" s="183">
        <f t="shared" si="27"/>
        <v>0</v>
      </c>
      <c r="BG190" s="183">
        <f t="shared" si="28"/>
        <v>0</v>
      </c>
      <c r="BH190" s="183">
        <f t="shared" si="29"/>
        <v>0</v>
      </c>
      <c r="BI190" s="182" t="s">
        <v>136</v>
      </c>
      <c r="BJ190" s="183">
        <f t="shared" si="30"/>
        <v>1315.8</v>
      </c>
      <c r="BK190" s="182" t="s">
        <v>135</v>
      </c>
      <c r="BL190" s="181" t="s">
        <v>278</v>
      </c>
    </row>
    <row r="191" spans="1:64" s="180" customFormat="1" ht="16.5" customHeight="1">
      <c r="A191" s="166"/>
      <c r="B191" s="167">
        <f t="shared" si="21"/>
        <v>52</v>
      </c>
      <c r="C191" s="167" t="s">
        <v>131</v>
      </c>
      <c r="D191" s="168" t="s">
        <v>279</v>
      </c>
      <c r="E191" s="169" t="s">
        <v>280</v>
      </c>
      <c r="F191" s="170" t="s">
        <v>134</v>
      </c>
      <c r="G191" s="171">
        <v>65</v>
      </c>
      <c r="H191" s="172">
        <v>80</v>
      </c>
      <c r="I191" s="172">
        <f t="shared" si="20"/>
        <v>5200</v>
      </c>
      <c r="J191" s="173"/>
      <c r="K191" s="174"/>
      <c r="L191" s="175"/>
      <c r="M191" s="176" t="s">
        <v>39</v>
      </c>
      <c r="N191" s="177">
        <v>0.012240000000000001</v>
      </c>
      <c r="O191" s="177">
        <f t="shared" si="22"/>
        <v>0.7956000000000001</v>
      </c>
      <c r="P191" s="177">
        <v>0</v>
      </c>
      <c r="Q191" s="177">
        <f t="shared" si="23"/>
        <v>0</v>
      </c>
      <c r="R191" s="177">
        <v>0</v>
      </c>
      <c r="S191" s="178">
        <f t="shared" si="24"/>
        <v>0</v>
      </c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Q191" s="181" t="s">
        <v>135</v>
      </c>
      <c r="AS191" s="181" t="s">
        <v>131</v>
      </c>
      <c r="AT191" s="181" t="s">
        <v>136</v>
      </c>
      <c r="AX191" s="182" t="s">
        <v>129</v>
      </c>
      <c r="BD191" s="183">
        <f t="shared" si="25"/>
        <v>0</v>
      </c>
      <c r="BE191" s="183">
        <f t="shared" si="26"/>
        <v>5200</v>
      </c>
      <c r="BF191" s="183">
        <f t="shared" si="27"/>
        <v>0</v>
      </c>
      <c r="BG191" s="183">
        <f t="shared" si="28"/>
        <v>0</v>
      </c>
      <c r="BH191" s="183">
        <f t="shared" si="29"/>
        <v>0</v>
      </c>
      <c r="BI191" s="182" t="s">
        <v>136</v>
      </c>
      <c r="BJ191" s="183">
        <f t="shared" si="30"/>
        <v>5200</v>
      </c>
      <c r="BK191" s="182" t="s">
        <v>135</v>
      </c>
      <c r="BL191" s="181" t="s">
        <v>281</v>
      </c>
    </row>
    <row r="192" spans="1:64" s="180" customFormat="1" ht="21.75" customHeight="1">
      <c r="A192" s="166"/>
      <c r="B192" s="167">
        <f t="shared" si="21"/>
        <v>53</v>
      </c>
      <c r="C192" s="167" t="s">
        <v>131</v>
      </c>
      <c r="D192" s="168" t="s">
        <v>282</v>
      </c>
      <c r="E192" s="169" t="s">
        <v>283</v>
      </c>
      <c r="F192" s="170" t="s">
        <v>182</v>
      </c>
      <c r="G192" s="171">
        <v>40</v>
      </c>
      <c r="H192" s="172">
        <v>15.17</v>
      </c>
      <c r="I192" s="172">
        <f t="shared" si="20"/>
        <v>606.8</v>
      </c>
      <c r="J192" s="173"/>
      <c r="K192" s="174"/>
      <c r="L192" s="175"/>
      <c r="M192" s="176" t="s">
        <v>39</v>
      </c>
      <c r="N192" s="177">
        <v>1.175</v>
      </c>
      <c r="O192" s="177">
        <f t="shared" si="22"/>
        <v>47</v>
      </c>
      <c r="P192" s="177">
        <v>0</v>
      </c>
      <c r="Q192" s="177">
        <f t="shared" si="23"/>
        <v>0</v>
      </c>
      <c r="R192" s="177">
        <v>0</v>
      </c>
      <c r="S192" s="178">
        <f t="shared" si="24"/>
        <v>0</v>
      </c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Q192" s="181" t="s">
        <v>135</v>
      </c>
      <c r="AS192" s="181" t="s">
        <v>131</v>
      </c>
      <c r="AT192" s="181" t="s">
        <v>136</v>
      </c>
      <c r="AX192" s="182" t="s">
        <v>129</v>
      </c>
      <c r="BD192" s="183">
        <f t="shared" si="25"/>
        <v>0</v>
      </c>
      <c r="BE192" s="183">
        <f t="shared" si="26"/>
        <v>606.8</v>
      </c>
      <c r="BF192" s="183">
        <f t="shared" si="27"/>
        <v>0</v>
      </c>
      <c r="BG192" s="183">
        <f t="shared" si="28"/>
        <v>0</v>
      </c>
      <c r="BH192" s="183">
        <f t="shared" si="29"/>
        <v>0</v>
      </c>
      <c r="BI192" s="182" t="s">
        <v>136</v>
      </c>
      <c r="BJ192" s="183">
        <f t="shared" si="30"/>
        <v>606.8</v>
      </c>
      <c r="BK192" s="182" t="s">
        <v>135</v>
      </c>
      <c r="BL192" s="181" t="s">
        <v>284</v>
      </c>
    </row>
    <row r="193" spans="1:64" s="180" customFormat="1" ht="21.75" customHeight="1">
      <c r="A193" s="166"/>
      <c r="B193" s="167">
        <f t="shared" si="21"/>
        <v>54</v>
      </c>
      <c r="C193" s="167" t="s">
        <v>131</v>
      </c>
      <c r="D193" s="168" t="s">
        <v>285</v>
      </c>
      <c r="E193" s="169" t="s">
        <v>286</v>
      </c>
      <c r="F193" s="170" t="s">
        <v>182</v>
      </c>
      <c r="G193" s="171">
        <v>782</v>
      </c>
      <c r="H193" s="172">
        <v>4.15</v>
      </c>
      <c r="I193" s="172">
        <f t="shared" si="20"/>
        <v>3245.3</v>
      </c>
      <c r="J193" s="173"/>
      <c r="K193" s="174"/>
      <c r="L193" s="175"/>
      <c r="M193" s="176" t="s">
        <v>39</v>
      </c>
      <c r="N193" s="177">
        <v>0.255</v>
      </c>
      <c r="O193" s="177">
        <f t="shared" si="22"/>
        <v>199.41</v>
      </c>
      <c r="P193" s="177">
        <v>0</v>
      </c>
      <c r="Q193" s="177">
        <f t="shared" si="23"/>
        <v>0</v>
      </c>
      <c r="R193" s="177">
        <v>0</v>
      </c>
      <c r="S193" s="178">
        <f t="shared" si="24"/>
        <v>0</v>
      </c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Q193" s="181" t="s">
        <v>135</v>
      </c>
      <c r="AS193" s="181" t="s">
        <v>131</v>
      </c>
      <c r="AT193" s="181" t="s">
        <v>136</v>
      </c>
      <c r="AX193" s="182" t="s">
        <v>129</v>
      </c>
      <c r="BD193" s="183">
        <f t="shared" si="25"/>
        <v>0</v>
      </c>
      <c r="BE193" s="183">
        <f t="shared" si="26"/>
        <v>3245.3</v>
      </c>
      <c r="BF193" s="183">
        <f t="shared" si="27"/>
        <v>0</v>
      </c>
      <c r="BG193" s="183">
        <f t="shared" si="28"/>
        <v>0</v>
      </c>
      <c r="BH193" s="183">
        <f t="shared" si="29"/>
        <v>0</v>
      </c>
      <c r="BI193" s="182" t="s">
        <v>136</v>
      </c>
      <c r="BJ193" s="183">
        <f t="shared" si="30"/>
        <v>3245.3</v>
      </c>
      <c r="BK193" s="182" t="s">
        <v>135</v>
      </c>
      <c r="BL193" s="181" t="s">
        <v>287</v>
      </c>
    </row>
    <row r="194" spans="1:64" s="180" customFormat="1" ht="24" customHeight="1">
      <c r="A194" s="166"/>
      <c r="B194" s="167">
        <f t="shared" si="21"/>
        <v>55</v>
      </c>
      <c r="C194" s="167" t="s">
        <v>131</v>
      </c>
      <c r="D194" s="168" t="s">
        <v>288</v>
      </c>
      <c r="E194" s="169" t="s">
        <v>289</v>
      </c>
      <c r="F194" s="170" t="s">
        <v>182</v>
      </c>
      <c r="G194" s="171">
        <v>2.1</v>
      </c>
      <c r="H194" s="172">
        <v>90.18</v>
      </c>
      <c r="I194" s="172">
        <f t="shared" si="20"/>
        <v>189.38</v>
      </c>
      <c r="J194" s="173"/>
      <c r="K194" s="174"/>
      <c r="L194" s="175"/>
      <c r="M194" s="176" t="s">
        <v>39</v>
      </c>
      <c r="N194" s="177">
        <v>4.695</v>
      </c>
      <c r="O194" s="177">
        <f t="shared" si="22"/>
        <v>9.8595</v>
      </c>
      <c r="P194" s="177">
        <v>0</v>
      </c>
      <c r="Q194" s="177">
        <f t="shared" si="23"/>
        <v>0</v>
      </c>
      <c r="R194" s="177">
        <v>0</v>
      </c>
      <c r="S194" s="178">
        <f t="shared" si="24"/>
        <v>0</v>
      </c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Q194" s="181" t="s">
        <v>135</v>
      </c>
      <c r="AS194" s="181" t="s">
        <v>131</v>
      </c>
      <c r="AT194" s="181" t="s">
        <v>136</v>
      </c>
      <c r="AX194" s="182" t="s">
        <v>129</v>
      </c>
      <c r="BD194" s="183">
        <f t="shared" si="25"/>
        <v>0</v>
      </c>
      <c r="BE194" s="183">
        <f t="shared" si="26"/>
        <v>189.38</v>
      </c>
      <c r="BF194" s="183">
        <f t="shared" si="27"/>
        <v>0</v>
      </c>
      <c r="BG194" s="183">
        <f t="shared" si="28"/>
        <v>0</v>
      </c>
      <c r="BH194" s="183">
        <f t="shared" si="29"/>
        <v>0</v>
      </c>
      <c r="BI194" s="182" t="s">
        <v>136</v>
      </c>
      <c r="BJ194" s="183">
        <f t="shared" si="30"/>
        <v>189.38</v>
      </c>
      <c r="BK194" s="182" t="s">
        <v>135</v>
      </c>
      <c r="BL194" s="181" t="s">
        <v>290</v>
      </c>
    </row>
    <row r="195" spans="1:64" s="180" customFormat="1" ht="24" customHeight="1">
      <c r="A195" s="166"/>
      <c r="B195" s="167">
        <f t="shared" si="21"/>
        <v>56</v>
      </c>
      <c r="C195" s="185" t="s">
        <v>193</v>
      </c>
      <c r="D195" s="186" t="s">
        <v>291</v>
      </c>
      <c r="E195" s="187" t="s">
        <v>292</v>
      </c>
      <c r="F195" s="188" t="s">
        <v>182</v>
      </c>
      <c r="G195" s="189">
        <v>795.9</v>
      </c>
      <c r="H195" s="190">
        <v>28.52</v>
      </c>
      <c r="I195" s="190">
        <f t="shared" si="20"/>
        <v>22699.07</v>
      </c>
      <c r="J195" s="191"/>
      <c r="K195" s="192"/>
      <c r="L195" s="193"/>
      <c r="M195" s="194" t="s">
        <v>39</v>
      </c>
      <c r="N195" s="177">
        <v>0</v>
      </c>
      <c r="O195" s="177">
        <f t="shared" si="22"/>
        <v>0</v>
      </c>
      <c r="P195" s="177">
        <v>0</v>
      </c>
      <c r="Q195" s="177">
        <f t="shared" si="23"/>
        <v>0</v>
      </c>
      <c r="R195" s="177">
        <v>0</v>
      </c>
      <c r="S195" s="178">
        <f t="shared" si="24"/>
        <v>0</v>
      </c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Q195" s="181" t="s">
        <v>197</v>
      </c>
      <c r="AS195" s="181" t="s">
        <v>193</v>
      </c>
      <c r="AT195" s="181" t="s">
        <v>136</v>
      </c>
      <c r="AX195" s="182" t="s">
        <v>129</v>
      </c>
      <c r="BD195" s="183">
        <f t="shared" si="25"/>
        <v>0</v>
      </c>
      <c r="BE195" s="183">
        <f t="shared" si="26"/>
        <v>22699.07</v>
      </c>
      <c r="BF195" s="183">
        <f t="shared" si="27"/>
        <v>0</v>
      </c>
      <c r="BG195" s="183">
        <f t="shared" si="28"/>
        <v>0</v>
      </c>
      <c r="BH195" s="183">
        <f t="shared" si="29"/>
        <v>0</v>
      </c>
      <c r="BI195" s="182" t="s">
        <v>136</v>
      </c>
      <c r="BJ195" s="183">
        <f t="shared" si="30"/>
        <v>22699.07</v>
      </c>
      <c r="BK195" s="182" t="s">
        <v>135</v>
      </c>
      <c r="BL195" s="181" t="s">
        <v>293</v>
      </c>
    </row>
    <row r="196" spans="1:62" s="196" customFormat="1" ht="22.5" customHeight="1">
      <c r="A196" s="195"/>
      <c r="C196" s="197" t="s">
        <v>72</v>
      </c>
      <c r="D196" s="198" t="s">
        <v>294</v>
      </c>
      <c r="E196" s="198" t="s">
        <v>295</v>
      </c>
      <c r="I196" s="199">
        <f>BJ196</f>
        <v>4974.08</v>
      </c>
      <c r="K196" s="195"/>
      <c r="L196" s="200"/>
      <c r="M196" s="201"/>
      <c r="N196" s="201"/>
      <c r="O196" s="202">
        <f>O197</f>
        <v>120.05999999999999</v>
      </c>
      <c r="P196" s="201"/>
      <c r="Q196" s="202">
        <f>Q197</f>
        <v>263.5346</v>
      </c>
      <c r="R196" s="201"/>
      <c r="S196" s="203">
        <f>S197</f>
        <v>0</v>
      </c>
      <c r="AQ196" s="197" t="s">
        <v>80</v>
      </c>
      <c r="AS196" s="204" t="s">
        <v>72</v>
      </c>
      <c r="AT196" s="204" t="s">
        <v>80</v>
      </c>
      <c r="AX196" s="197" t="s">
        <v>129</v>
      </c>
      <c r="BJ196" s="205">
        <f>BJ197</f>
        <v>4974.08</v>
      </c>
    </row>
    <row r="197" spans="1:64" s="180" customFormat="1" ht="48.75" customHeight="1">
      <c r="A197" s="166"/>
      <c r="B197" s="167">
        <f>B195+1</f>
        <v>57</v>
      </c>
      <c r="C197" s="167" t="s">
        <v>131</v>
      </c>
      <c r="D197" s="168" t="s">
        <v>296</v>
      </c>
      <c r="E197" s="169" t="s">
        <v>297</v>
      </c>
      <c r="F197" s="170" t="s">
        <v>298</v>
      </c>
      <c r="G197" s="171">
        <v>116</v>
      </c>
      <c r="H197" s="172">
        <v>42.88</v>
      </c>
      <c r="I197" s="172">
        <f>ROUND(H197*G197,2)</f>
        <v>4974.08</v>
      </c>
      <c r="J197" s="173"/>
      <c r="K197" s="174"/>
      <c r="L197" s="175"/>
      <c r="M197" s="176" t="s">
        <v>39</v>
      </c>
      <c r="N197" s="177">
        <v>1.035</v>
      </c>
      <c r="O197" s="177">
        <f>N197*G197</f>
        <v>120.05999999999999</v>
      </c>
      <c r="P197" s="177">
        <v>2.27185</v>
      </c>
      <c r="Q197" s="177">
        <f>P197*G197</f>
        <v>263.5346</v>
      </c>
      <c r="R197" s="177">
        <v>0</v>
      </c>
      <c r="S197" s="178">
        <f>R197*G197</f>
        <v>0</v>
      </c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Q197" s="181" t="s">
        <v>135</v>
      </c>
      <c r="AS197" s="181" t="s">
        <v>131</v>
      </c>
      <c r="AT197" s="181" t="s">
        <v>136</v>
      </c>
      <c r="AX197" s="182" t="s">
        <v>129</v>
      </c>
      <c r="BD197" s="183">
        <f>IF(M197="základná",I197,0)</f>
        <v>0</v>
      </c>
      <c r="BE197" s="183">
        <f>IF(M197="znížená",I197,0)</f>
        <v>4974.08</v>
      </c>
      <c r="BF197" s="183">
        <f>IF(M197="zákl. prenesená",I197,0)</f>
        <v>0</v>
      </c>
      <c r="BG197" s="183">
        <f>IF(M197="zníž. prenesená",I197,0)</f>
        <v>0</v>
      </c>
      <c r="BH197" s="183">
        <f>IF(M197="nulová",I197,0)</f>
        <v>0</v>
      </c>
      <c r="BI197" s="182" t="s">
        <v>136</v>
      </c>
      <c r="BJ197" s="183">
        <f>ROUND(H197*G197,2)</f>
        <v>4974.08</v>
      </c>
      <c r="BK197" s="182" t="s">
        <v>135</v>
      </c>
      <c r="BL197" s="181" t="s">
        <v>299</v>
      </c>
    </row>
    <row r="198" spans="1:62" s="196" customFormat="1" ht="22.5" customHeight="1">
      <c r="A198" s="195"/>
      <c r="C198" s="197" t="s">
        <v>72</v>
      </c>
      <c r="D198" s="198" t="s">
        <v>300</v>
      </c>
      <c r="E198" s="198" t="s">
        <v>301</v>
      </c>
      <c r="I198" s="199">
        <f>BJ198</f>
        <v>8308</v>
      </c>
      <c r="K198" s="195"/>
      <c r="L198" s="200"/>
      <c r="M198" s="201"/>
      <c r="N198" s="201"/>
      <c r="O198" s="202">
        <f>SUM(O199:O201)</f>
        <v>0</v>
      </c>
      <c r="P198" s="201"/>
      <c r="Q198" s="202">
        <f>SUM(Q199:Q201)</f>
        <v>0</v>
      </c>
      <c r="R198" s="201"/>
      <c r="S198" s="203">
        <f>SUM(S199:S201)</f>
        <v>0</v>
      </c>
      <c r="AQ198" s="197" t="s">
        <v>80</v>
      </c>
      <c r="AS198" s="204" t="s">
        <v>72</v>
      </c>
      <c r="AT198" s="204" t="s">
        <v>80</v>
      </c>
      <c r="AX198" s="197" t="s">
        <v>129</v>
      </c>
      <c r="BJ198" s="205">
        <f>SUM(BJ199:BJ201)</f>
        <v>8308</v>
      </c>
    </row>
    <row r="199" spans="1:64" s="180" customFormat="1" ht="16.5" customHeight="1">
      <c r="A199" s="166"/>
      <c r="B199" s="185">
        <f>B197+1</f>
        <v>58</v>
      </c>
      <c r="C199" s="185" t="s">
        <v>193</v>
      </c>
      <c r="D199" s="186" t="s">
        <v>302</v>
      </c>
      <c r="E199" s="187" t="s">
        <v>303</v>
      </c>
      <c r="F199" s="188" t="s">
        <v>304</v>
      </c>
      <c r="G199" s="189">
        <v>20</v>
      </c>
      <c r="H199" s="190">
        <v>15.08</v>
      </c>
      <c r="I199" s="190">
        <f>ROUND(H199*G199,2)</f>
        <v>301.6</v>
      </c>
      <c r="J199" s="191"/>
      <c r="K199" s="192"/>
      <c r="L199" s="193"/>
      <c r="M199" s="194" t="s">
        <v>39</v>
      </c>
      <c r="N199" s="177">
        <v>0</v>
      </c>
      <c r="O199" s="177">
        <f>N199*G199</f>
        <v>0</v>
      </c>
      <c r="P199" s="177">
        <v>0</v>
      </c>
      <c r="Q199" s="177">
        <f>P199*G199</f>
        <v>0</v>
      </c>
      <c r="R199" s="177">
        <v>0</v>
      </c>
      <c r="S199" s="178">
        <f>R199*G199</f>
        <v>0</v>
      </c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Q199" s="181" t="s">
        <v>197</v>
      </c>
      <c r="AS199" s="181" t="s">
        <v>193</v>
      </c>
      <c r="AT199" s="181" t="s">
        <v>136</v>
      </c>
      <c r="AX199" s="182" t="s">
        <v>129</v>
      </c>
      <c r="BD199" s="183">
        <f>IF(M199="základná",I199,0)</f>
        <v>0</v>
      </c>
      <c r="BE199" s="183">
        <f>IF(M199="znížená",I199,0)</f>
        <v>301.6</v>
      </c>
      <c r="BF199" s="183">
        <f>IF(M199="zákl. prenesená",I199,0)</f>
        <v>0</v>
      </c>
      <c r="BG199" s="183">
        <f>IF(M199="zníž. prenesená",I199,0)</f>
        <v>0</v>
      </c>
      <c r="BH199" s="183">
        <f>IF(M199="nulová",I199,0)</f>
        <v>0</v>
      </c>
      <c r="BI199" s="182" t="s">
        <v>136</v>
      </c>
      <c r="BJ199" s="183">
        <f>ROUND(H199*G199,2)</f>
        <v>301.6</v>
      </c>
      <c r="BK199" s="182" t="s">
        <v>135</v>
      </c>
      <c r="BL199" s="181" t="s">
        <v>305</v>
      </c>
    </row>
    <row r="200" spans="1:64" s="180" customFormat="1" ht="16.5" customHeight="1">
      <c r="A200" s="166"/>
      <c r="B200" s="185">
        <f>B199+1</f>
        <v>59</v>
      </c>
      <c r="C200" s="185" t="s">
        <v>193</v>
      </c>
      <c r="D200" s="186" t="s">
        <v>306</v>
      </c>
      <c r="E200" s="187" t="s">
        <v>307</v>
      </c>
      <c r="F200" s="188" t="s">
        <v>182</v>
      </c>
      <c r="G200" s="189">
        <v>30</v>
      </c>
      <c r="H200" s="190">
        <v>168</v>
      </c>
      <c r="I200" s="190">
        <f>ROUND(H200*G200,2)</f>
        <v>5040</v>
      </c>
      <c r="J200" s="191"/>
      <c r="K200" s="192"/>
      <c r="L200" s="193"/>
      <c r="M200" s="194" t="s">
        <v>39</v>
      </c>
      <c r="N200" s="177">
        <v>0</v>
      </c>
      <c r="O200" s="177">
        <f>N200*G200</f>
        <v>0</v>
      </c>
      <c r="P200" s="177">
        <v>0</v>
      </c>
      <c r="Q200" s="177">
        <f>P200*G200</f>
        <v>0</v>
      </c>
      <c r="R200" s="177">
        <v>0</v>
      </c>
      <c r="S200" s="178">
        <f>R200*G200</f>
        <v>0</v>
      </c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Q200" s="181" t="s">
        <v>197</v>
      </c>
      <c r="AS200" s="181" t="s">
        <v>193</v>
      </c>
      <c r="AT200" s="181" t="s">
        <v>136</v>
      </c>
      <c r="AX200" s="182" t="s">
        <v>129</v>
      </c>
      <c r="BD200" s="183">
        <f>IF(M200="základná",I200,0)</f>
        <v>0</v>
      </c>
      <c r="BE200" s="183">
        <f>IF(M200="znížená",I200,0)</f>
        <v>5040</v>
      </c>
      <c r="BF200" s="183">
        <f>IF(M200="zákl. prenesená",I200,0)</f>
        <v>0</v>
      </c>
      <c r="BG200" s="183">
        <f>IF(M200="zníž. prenesená",I200,0)</f>
        <v>0</v>
      </c>
      <c r="BH200" s="183">
        <f>IF(M200="nulová",I200,0)</f>
        <v>0</v>
      </c>
      <c r="BI200" s="182" t="s">
        <v>136</v>
      </c>
      <c r="BJ200" s="183">
        <f>ROUND(H200*G200,2)</f>
        <v>5040</v>
      </c>
      <c r="BK200" s="182" t="s">
        <v>135</v>
      </c>
      <c r="BL200" s="181" t="s">
        <v>308</v>
      </c>
    </row>
    <row r="201" spans="1:64" s="180" customFormat="1" ht="16.5" customHeight="1">
      <c r="A201" s="166"/>
      <c r="B201" s="185">
        <f>B200+1</f>
        <v>60</v>
      </c>
      <c r="C201" s="185" t="s">
        <v>193</v>
      </c>
      <c r="D201" s="186" t="s">
        <v>309</v>
      </c>
      <c r="E201" s="187" t="s">
        <v>310</v>
      </c>
      <c r="F201" s="188" t="s">
        <v>182</v>
      </c>
      <c r="G201" s="189">
        <v>30</v>
      </c>
      <c r="H201" s="190">
        <v>98.88</v>
      </c>
      <c r="I201" s="190">
        <f>ROUND(H201*G201,2)</f>
        <v>2966.4</v>
      </c>
      <c r="J201" s="191"/>
      <c r="K201" s="192"/>
      <c r="L201" s="193"/>
      <c r="M201" s="194" t="s">
        <v>39</v>
      </c>
      <c r="N201" s="177">
        <v>0</v>
      </c>
      <c r="O201" s="177">
        <f>N201*G201</f>
        <v>0</v>
      </c>
      <c r="P201" s="177">
        <v>0</v>
      </c>
      <c r="Q201" s="177">
        <f>P201*G201</f>
        <v>0</v>
      </c>
      <c r="R201" s="177">
        <v>0</v>
      </c>
      <c r="S201" s="178">
        <f>R201*G201</f>
        <v>0</v>
      </c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79"/>
      <c r="AQ201" s="181" t="s">
        <v>197</v>
      </c>
      <c r="AS201" s="181" t="s">
        <v>193</v>
      </c>
      <c r="AT201" s="181" t="s">
        <v>136</v>
      </c>
      <c r="AX201" s="182" t="s">
        <v>129</v>
      </c>
      <c r="BD201" s="183">
        <f>IF(M201="základná",I201,0)</f>
        <v>0</v>
      </c>
      <c r="BE201" s="183">
        <f>IF(M201="znížená",I201,0)</f>
        <v>2966.4</v>
      </c>
      <c r="BF201" s="183">
        <f>IF(M201="zákl. prenesená",I201,0)</f>
        <v>0</v>
      </c>
      <c r="BG201" s="183">
        <f>IF(M201="zníž. prenesená",I201,0)</f>
        <v>0</v>
      </c>
      <c r="BH201" s="183">
        <f>IF(M201="nulová",I201,0)</f>
        <v>0</v>
      </c>
      <c r="BI201" s="182" t="s">
        <v>136</v>
      </c>
      <c r="BJ201" s="183">
        <f>ROUND(H201*G201,2)</f>
        <v>2966.4</v>
      </c>
      <c r="BK201" s="182" t="s">
        <v>135</v>
      </c>
      <c r="BL201" s="181" t="s">
        <v>311</v>
      </c>
    </row>
    <row r="202" spans="1:62" s="196" customFormat="1" ht="22.5" customHeight="1">
      <c r="A202" s="195"/>
      <c r="C202" s="197" t="s">
        <v>72</v>
      </c>
      <c r="D202" s="198" t="s">
        <v>312</v>
      </c>
      <c r="E202" s="198" t="s">
        <v>313</v>
      </c>
      <c r="G202" s="196">
        <f>SUBTOTAL(9,G203:G215)</f>
        <v>38</v>
      </c>
      <c r="I202" s="199">
        <f>SUBTOTAL(9,I203:I220)</f>
        <v>67020.09999999999</v>
      </c>
      <c r="K202" s="195"/>
      <c r="L202" s="200"/>
      <c r="M202" s="201"/>
      <c r="N202" s="201"/>
      <c r="O202" s="202">
        <f>SUM(O203:O220)</f>
        <v>0</v>
      </c>
      <c r="P202" s="201"/>
      <c r="Q202" s="202">
        <f>SUM(Q203:Q220)</f>
        <v>25.200000000000003</v>
      </c>
      <c r="R202" s="201"/>
      <c r="S202" s="203">
        <f>SUM(S203:S220)</f>
        <v>0</v>
      </c>
      <c r="AQ202" s="197" t="s">
        <v>80</v>
      </c>
      <c r="AS202" s="204" t="s">
        <v>72</v>
      </c>
      <c r="AT202" s="204" t="s">
        <v>80</v>
      </c>
      <c r="AX202" s="197" t="s">
        <v>129</v>
      </c>
      <c r="BJ202" s="205">
        <f>SUM(BJ203:BJ220)</f>
        <v>51220</v>
      </c>
    </row>
    <row r="203" spans="1:64" s="180" customFormat="1" ht="16.5" customHeight="1">
      <c r="A203" s="166"/>
      <c r="B203" s="185">
        <f>B201+1</f>
        <v>61</v>
      </c>
      <c r="C203" s="185" t="s">
        <v>193</v>
      </c>
      <c r="D203" s="186" t="s">
        <v>314</v>
      </c>
      <c r="E203" s="187" t="s">
        <v>315</v>
      </c>
      <c r="F203" s="188" t="s">
        <v>134</v>
      </c>
      <c r="G203" s="189">
        <v>2</v>
      </c>
      <c r="H203" s="190">
        <v>1900</v>
      </c>
      <c r="I203" s="190">
        <f aca="true" t="shared" si="31" ref="I203:I220">ROUND(H203*G203,2)</f>
        <v>3800</v>
      </c>
      <c r="J203" s="191"/>
      <c r="K203" s="192"/>
      <c r="L203" s="193"/>
      <c r="M203" s="194" t="s">
        <v>39</v>
      </c>
      <c r="N203" s="177">
        <v>0</v>
      </c>
      <c r="O203" s="177">
        <f aca="true" t="shared" si="32" ref="O203:O210">N203*G203</f>
        <v>0</v>
      </c>
      <c r="P203" s="177">
        <v>0.9</v>
      </c>
      <c r="Q203" s="177">
        <f aca="true" t="shared" si="33" ref="Q203:Q210">P203*G203</f>
        <v>1.8</v>
      </c>
      <c r="R203" s="177">
        <v>0</v>
      </c>
      <c r="S203" s="178">
        <f aca="true" t="shared" si="34" ref="S203:S210">R203*G203</f>
        <v>0</v>
      </c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79"/>
      <c r="AQ203" s="181" t="s">
        <v>197</v>
      </c>
      <c r="AS203" s="181" t="s">
        <v>193</v>
      </c>
      <c r="AT203" s="181" t="s">
        <v>136</v>
      </c>
      <c r="AX203" s="182" t="s">
        <v>129</v>
      </c>
      <c r="BD203" s="183">
        <f aca="true" t="shared" si="35" ref="BD203:BD210">IF(M203="základná",I203,0)</f>
        <v>0</v>
      </c>
      <c r="BE203" s="183">
        <f aca="true" t="shared" si="36" ref="BE203:BE210">IF(M203="znížená",I203,0)</f>
        <v>3800</v>
      </c>
      <c r="BF203" s="183">
        <f aca="true" t="shared" si="37" ref="BF203:BF210">IF(M203="zákl. prenesená",I203,0)</f>
        <v>0</v>
      </c>
      <c r="BG203" s="183">
        <f aca="true" t="shared" si="38" ref="BG203:BG210">IF(M203="zníž. prenesená",I203,0)</f>
        <v>0</v>
      </c>
      <c r="BH203" s="183">
        <f aca="true" t="shared" si="39" ref="BH203:BH210">IF(M203="nulová",I203,0)</f>
        <v>0</v>
      </c>
      <c r="BI203" s="182" t="s">
        <v>136</v>
      </c>
      <c r="BJ203" s="183">
        <f aca="true" t="shared" si="40" ref="BJ203:BJ210">ROUND(H203*G203,2)</f>
        <v>3800</v>
      </c>
      <c r="BK203" s="182" t="s">
        <v>135</v>
      </c>
      <c r="BL203" s="181" t="s">
        <v>316</v>
      </c>
    </row>
    <row r="204" spans="1:64" s="180" customFormat="1" ht="24" customHeight="1">
      <c r="A204" s="166"/>
      <c r="B204" s="185">
        <f aca="true" t="shared" si="41" ref="B204:B220">B203+1</f>
        <v>62</v>
      </c>
      <c r="C204" s="185" t="s">
        <v>193</v>
      </c>
      <c r="D204" s="186" t="s">
        <v>317</v>
      </c>
      <c r="E204" s="187" t="s">
        <v>318</v>
      </c>
      <c r="F204" s="188" t="s">
        <v>134</v>
      </c>
      <c r="G204" s="189">
        <v>3</v>
      </c>
      <c r="H204" s="190">
        <v>1920</v>
      </c>
      <c r="I204" s="190">
        <f t="shared" si="31"/>
        <v>5760</v>
      </c>
      <c r="J204" s="191"/>
      <c r="K204" s="192"/>
      <c r="L204" s="193"/>
      <c r="M204" s="194" t="s">
        <v>39</v>
      </c>
      <c r="N204" s="177">
        <v>0</v>
      </c>
      <c r="O204" s="177">
        <f t="shared" si="32"/>
        <v>0</v>
      </c>
      <c r="P204" s="177">
        <v>0.9</v>
      </c>
      <c r="Q204" s="177">
        <f t="shared" si="33"/>
        <v>2.7</v>
      </c>
      <c r="R204" s="177">
        <v>0</v>
      </c>
      <c r="S204" s="178">
        <f t="shared" si="34"/>
        <v>0</v>
      </c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Q204" s="181" t="s">
        <v>197</v>
      </c>
      <c r="AS204" s="181" t="s">
        <v>193</v>
      </c>
      <c r="AT204" s="181" t="s">
        <v>136</v>
      </c>
      <c r="AX204" s="182" t="s">
        <v>129</v>
      </c>
      <c r="BD204" s="183">
        <f t="shared" si="35"/>
        <v>0</v>
      </c>
      <c r="BE204" s="183">
        <f t="shared" si="36"/>
        <v>5760</v>
      </c>
      <c r="BF204" s="183">
        <f t="shared" si="37"/>
        <v>0</v>
      </c>
      <c r="BG204" s="183">
        <f t="shared" si="38"/>
        <v>0</v>
      </c>
      <c r="BH204" s="183">
        <f t="shared" si="39"/>
        <v>0</v>
      </c>
      <c r="BI204" s="182" t="s">
        <v>136</v>
      </c>
      <c r="BJ204" s="183">
        <f t="shared" si="40"/>
        <v>5760</v>
      </c>
      <c r="BK204" s="182" t="s">
        <v>135</v>
      </c>
      <c r="BL204" s="181" t="s">
        <v>319</v>
      </c>
    </row>
    <row r="205" spans="1:64" s="180" customFormat="1" ht="21.75" customHeight="1">
      <c r="A205" s="166"/>
      <c r="B205" s="185">
        <f t="shared" si="41"/>
        <v>63</v>
      </c>
      <c r="C205" s="185" t="s">
        <v>193</v>
      </c>
      <c r="D205" s="186" t="s">
        <v>320</v>
      </c>
      <c r="E205" s="187" t="s">
        <v>321</v>
      </c>
      <c r="F205" s="188" t="s">
        <v>134</v>
      </c>
      <c r="G205" s="189">
        <v>3</v>
      </c>
      <c r="H205" s="190">
        <v>1450</v>
      </c>
      <c r="I205" s="190">
        <f t="shared" si="31"/>
        <v>4350</v>
      </c>
      <c r="J205" s="191"/>
      <c r="K205" s="192"/>
      <c r="L205" s="193"/>
      <c r="M205" s="194" t="s">
        <v>39</v>
      </c>
      <c r="N205" s="177">
        <v>0</v>
      </c>
      <c r="O205" s="177">
        <f t="shared" si="32"/>
        <v>0</v>
      </c>
      <c r="P205" s="177">
        <v>0.9</v>
      </c>
      <c r="Q205" s="177">
        <f t="shared" si="33"/>
        <v>2.7</v>
      </c>
      <c r="R205" s="177">
        <v>0</v>
      </c>
      <c r="S205" s="178">
        <f t="shared" si="34"/>
        <v>0</v>
      </c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Q205" s="181" t="s">
        <v>197</v>
      </c>
      <c r="AS205" s="181" t="s">
        <v>193</v>
      </c>
      <c r="AT205" s="181" t="s">
        <v>136</v>
      </c>
      <c r="AX205" s="182" t="s">
        <v>129</v>
      </c>
      <c r="BD205" s="183">
        <f t="shared" si="35"/>
        <v>0</v>
      </c>
      <c r="BE205" s="183">
        <f t="shared" si="36"/>
        <v>4350</v>
      </c>
      <c r="BF205" s="183">
        <f t="shared" si="37"/>
        <v>0</v>
      </c>
      <c r="BG205" s="183">
        <f t="shared" si="38"/>
        <v>0</v>
      </c>
      <c r="BH205" s="183">
        <f t="shared" si="39"/>
        <v>0</v>
      </c>
      <c r="BI205" s="182" t="s">
        <v>136</v>
      </c>
      <c r="BJ205" s="183">
        <f t="shared" si="40"/>
        <v>4350</v>
      </c>
      <c r="BK205" s="182" t="s">
        <v>135</v>
      </c>
      <c r="BL205" s="181" t="s">
        <v>322</v>
      </c>
    </row>
    <row r="206" spans="1:64" s="180" customFormat="1" ht="21.75" customHeight="1">
      <c r="A206" s="166"/>
      <c r="B206" s="185">
        <f t="shared" si="41"/>
        <v>64</v>
      </c>
      <c r="C206" s="185" t="s">
        <v>193</v>
      </c>
      <c r="D206" s="186" t="s">
        <v>323</v>
      </c>
      <c r="E206" s="187" t="s">
        <v>324</v>
      </c>
      <c r="F206" s="188" t="s">
        <v>134</v>
      </c>
      <c r="G206" s="189">
        <v>2</v>
      </c>
      <c r="H206" s="190">
        <v>2100</v>
      </c>
      <c r="I206" s="190">
        <f t="shared" si="31"/>
        <v>4200</v>
      </c>
      <c r="J206" s="191"/>
      <c r="K206" s="192"/>
      <c r="L206" s="193"/>
      <c r="M206" s="194" t="s">
        <v>39</v>
      </c>
      <c r="N206" s="177">
        <v>0</v>
      </c>
      <c r="O206" s="177">
        <f t="shared" si="32"/>
        <v>0</v>
      </c>
      <c r="P206" s="177">
        <v>0.9</v>
      </c>
      <c r="Q206" s="177">
        <f t="shared" si="33"/>
        <v>1.8</v>
      </c>
      <c r="R206" s="177">
        <v>0</v>
      </c>
      <c r="S206" s="178">
        <f t="shared" si="34"/>
        <v>0</v>
      </c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Q206" s="181" t="s">
        <v>197</v>
      </c>
      <c r="AS206" s="181" t="s">
        <v>193</v>
      </c>
      <c r="AT206" s="181" t="s">
        <v>136</v>
      </c>
      <c r="AX206" s="182" t="s">
        <v>129</v>
      </c>
      <c r="BD206" s="183">
        <f t="shared" si="35"/>
        <v>0</v>
      </c>
      <c r="BE206" s="183">
        <f t="shared" si="36"/>
        <v>4200</v>
      </c>
      <c r="BF206" s="183">
        <f t="shared" si="37"/>
        <v>0</v>
      </c>
      <c r="BG206" s="183">
        <f t="shared" si="38"/>
        <v>0</v>
      </c>
      <c r="BH206" s="183">
        <f t="shared" si="39"/>
        <v>0</v>
      </c>
      <c r="BI206" s="182" t="s">
        <v>136</v>
      </c>
      <c r="BJ206" s="183">
        <f t="shared" si="40"/>
        <v>4200</v>
      </c>
      <c r="BK206" s="182" t="s">
        <v>135</v>
      </c>
      <c r="BL206" s="181" t="s">
        <v>325</v>
      </c>
    </row>
    <row r="207" spans="1:64" s="180" customFormat="1" ht="24" customHeight="1">
      <c r="A207" s="166"/>
      <c r="B207" s="185">
        <f t="shared" si="41"/>
        <v>65</v>
      </c>
      <c r="C207" s="185" t="s">
        <v>193</v>
      </c>
      <c r="D207" s="186" t="s">
        <v>326</v>
      </c>
      <c r="E207" s="187" t="s">
        <v>327</v>
      </c>
      <c r="F207" s="188" t="s">
        <v>134</v>
      </c>
      <c r="G207" s="189">
        <v>1</v>
      </c>
      <c r="H207" s="190">
        <v>1700</v>
      </c>
      <c r="I207" s="190">
        <f t="shared" si="31"/>
        <v>1700</v>
      </c>
      <c r="J207" s="191"/>
      <c r="K207" s="192"/>
      <c r="L207" s="193"/>
      <c r="M207" s="194" t="s">
        <v>39</v>
      </c>
      <c r="N207" s="177">
        <v>0</v>
      </c>
      <c r="O207" s="177">
        <f t="shared" si="32"/>
        <v>0</v>
      </c>
      <c r="P207" s="177">
        <v>0.9</v>
      </c>
      <c r="Q207" s="177">
        <f t="shared" si="33"/>
        <v>0.9</v>
      </c>
      <c r="R207" s="177">
        <v>0</v>
      </c>
      <c r="S207" s="178">
        <f t="shared" si="34"/>
        <v>0</v>
      </c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Q207" s="181" t="s">
        <v>197</v>
      </c>
      <c r="AS207" s="181" t="s">
        <v>193</v>
      </c>
      <c r="AT207" s="181" t="s">
        <v>136</v>
      </c>
      <c r="AX207" s="182" t="s">
        <v>129</v>
      </c>
      <c r="BD207" s="183">
        <f t="shared" si="35"/>
        <v>0</v>
      </c>
      <c r="BE207" s="183">
        <f t="shared" si="36"/>
        <v>1700</v>
      </c>
      <c r="BF207" s="183">
        <f t="shared" si="37"/>
        <v>0</v>
      </c>
      <c r="BG207" s="183">
        <f t="shared" si="38"/>
        <v>0</v>
      </c>
      <c r="BH207" s="183">
        <f t="shared" si="39"/>
        <v>0</v>
      </c>
      <c r="BI207" s="182" t="s">
        <v>136</v>
      </c>
      <c r="BJ207" s="183">
        <f t="shared" si="40"/>
        <v>1700</v>
      </c>
      <c r="BK207" s="182" t="s">
        <v>135</v>
      </c>
      <c r="BL207" s="181" t="s">
        <v>328</v>
      </c>
    </row>
    <row r="208" spans="1:64" s="180" customFormat="1" ht="21.75" customHeight="1">
      <c r="A208" s="166"/>
      <c r="B208" s="185">
        <f t="shared" si="41"/>
        <v>66</v>
      </c>
      <c r="C208" s="185" t="s">
        <v>193</v>
      </c>
      <c r="D208" s="186" t="s">
        <v>329</v>
      </c>
      <c r="E208" s="187" t="s">
        <v>330</v>
      </c>
      <c r="F208" s="188" t="s">
        <v>134</v>
      </c>
      <c r="G208" s="189">
        <v>8</v>
      </c>
      <c r="H208" s="190">
        <v>1680</v>
      </c>
      <c r="I208" s="190">
        <f t="shared" si="31"/>
        <v>13440</v>
      </c>
      <c r="J208" s="191"/>
      <c r="K208" s="192"/>
      <c r="L208" s="193"/>
      <c r="M208" s="194" t="s">
        <v>39</v>
      </c>
      <c r="N208" s="177">
        <v>0</v>
      </c>
      <c r="O208" s="177">
        <f t="shared" si="32"/>
        <v>0</v>
      </c>
      <c r="P208" s="177">
        <v>0.9</v>
      </c>
      <c r="Q208" s="177">
        <f t="shared" si="33"/>
        <v>7.2</v>
      </c>
      <c r="R208" s="177">
        <v>0</v>
      </c>
      <c r="S208" s="178">
        <f t="shared" si="34"/>
        <v>0</v>
      </c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Q208" s="181" t="s">
        <v>197</v>
      </c>
      <c r="AS208" s="181" t="s">
        <v>193</v>
      </c>
      <c r="AT208" s="181" t="s">
        <v>136</v>
      </c>
      <c r="AX208" s="182" t="s">
        <v>129</v>
      </c>
      <c r="BD208" s="183">
        <f t="shared" si="35"/>
        <v>0</v>
      </c>
      <c r="BE208" s="183">
        <f t="shared" si="36"/>
        <v>13440</v>
      </c>
      <c r="BF208" s="183">
        <f t="shared" si="37"/>
        <v>0</v>
      </c>
      <c r="BG208" s="183">
        <f t="shared" si="38"/>
        <v>0</v>
      </c>
      <c r="BH208" s="183">
        <f t="shared" si="39"/>
        <v>0</v>
      </c>
      <c r="BI208" s="182" t="s">
        <v>136</v>
      </c>
      <c r="BJ208" s="183">
        <f t="shared" si="40"/>
        <v>13440</v>
      </c>
      <c r="BK208" s="182" t="s">
        <v>135</v>
      </c>
      <c r="BL208" s="181" t="s">
        <v>331</v>
      </c>
    </row>
    <row r="209" spans="1:64" s="180" customFormat="1" ht="16.5" customHeight="1">
      <c r="A209" s="166"/>
      <c r="B209" s="185">
        <f t="shared" si="41"/>
        <v>67</v>
      </c>
      <c r="C209" s="185" t="s">
        <v>193</v>
      </c>
      <c r="D209" s="186" t="s">
        <v>332</v>
      </c>
      <c r="E209" s="187" t="s">
        <v>333</v>
      </c>
      <c r="F209" s="188" t="s">
        <v>134</v>
      </c>
      <c r="G209" s="189">
        <v>3</v>
      </c>
      <c r="H209" s="190">
        <v>1790</v>
      </c>
      <c r="I209" s="190">
        <f t="shared" si="31"/>
        <v>5370</v>
      </c>
      <c r="J209" s="191"/>
      <c r="K209" s="192"/>
      <c r="L209" s="193"/>
      <c r="M209" s="194" t="s">
        <v>39</v>
      </c>
      <c r="N209" s="177">
        <v>0</v>
      </c>
      <c r="O209" s="177">
        <f t="shared" si="32"/>
        <v>0</v>
      </c>
      <c r="P209" s="177">
        <v>0.9</v>
      </c>
      <c r="Q209" s="177">
        <f t="shared" si="33"/>
        <v>2.7</v>
      </c>
      <c r="R209" s="177">
        <v>0</v>
      </c>
      <c r="S209" s="178">
        <f t="shared" si="34"/>
        <v>0</v>
      </c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Q209" s="181" t="s">
        <v>197</v>
      </c>
      <c r="AS209" s="181" t="s">
        <v>193</v>
      </c>
      <c r="AT209" s="181" t="s">
        <v>136</v>
      </c>
      <c r="AX209" s="182" t="s">
        <v>129</v>
      </c>
      <c r="BD209" s="183">
        <f t="shared" si="35"/>
        <v>0</v>
      </c>
      <c r="BE209" s="183">
        <f t="shared" si="36"/>
        <v>5370</v>
      </c>
      <c r="BF209" s="183">
        <f t="shared" si="37"/>
        <v>0</v>
      </c>
      <c r="BG209" s="183">
        <f t="shared" si="38"/>
        <v>0</v>
      </c>
      <c r="BH209" s="183">
        <f t="shared" si="39"/>
        <v>0</v>
      </c>
      <c r="BI209" s="182" t="s">
        <v>136</v>
      </c>
      <c r="BJ209" s="183">
        <f t="shared" si="40"/>
        <v>5370</v>
      </c>
      <c r="BK209" s="182" t="s">
        <v>135</v>
      </c>
      <c r="BL209" s="181" t="s">
        <v>334</v>
      </c>
    </row>
    <row r="210" spans="1:64" s="180" customFormat="1" ht="24" customHeight="1">
      <c r="A210" s="166"/>
      <c r="B210" s="185">
        <f t="shared" si="41"/>
        <v>68</v>
      </c>
      <c r="C210" s="185" t="s">
        <v>193</v>
      </c>
      <c r="D210" s="186" t="s">
        <v>335</v>
      </c>
      <c r="E210" s="187" t="s">
        <v>336</v>
      </c>
      <c r="F210" s="188" t="s">
        <v>134</v>
      </c>
      <c r="G210" s="189">
        <v>6</v>
      </c>
      <c r="H210" s="190">
        <v>2100</v>
      </c>
      <c r="I210" s="190">
        <f t="shared" si="31"/>
        <v>12600</v>
      </c>
      <c r="J210" s="191"/>
      <c r="K210" s="192"/>
      <c r="L210" s="193"/>
      <c r="M210" s="194" t="s">
        <v>39</v>
      </c>
      <c r="N210" s="177">
        <v>0</v>
      </c>
      <c r="O210" s="177">
        <f t="shared" si="32"/>
        <v>0</v>
      </c>
      <c r="P210" s="177">
        <v>0.9</v>
      </c>
      <c r="Q210" s="177">
        <f t="shared" si="33"/>
        <v>5.4</v>
      </c>
      <c r="R210" s="177">
        <v>0</v>
      </c>
      <c r="S210" s="178">
        <f t="shared" si="34"/>
        <v>0</v>
      </c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Q210" s="181" t="s">
        <v>197</v>
      </c>
      <c r="AS210" s="181" t="s">
        <v>193</v>
      </c>
      <c r="AT210" s="181" t="s">
        <v>136</v>
      </c>
      <c r="AX210" s="182" t="s">
        <v>129</v>
      </c>
      <c r="BD210" s="183">
        <f t="shared" si="35"/>
        <v>0</v>
      </c>
      <c r="BE210" s="183">
        <f t="shared" si="36"/>
        <v>12600</v>
      </c>
      <c r="BF210" s="183">
        <f t="shared" si="37"/>
        <v>0</v>
      </c>
      <c r="BG210" s="183">
        <f t="shared" si="38"/>
        <v>0</v>
      </c>
      <c r="BH210" s="183">
        <f t="shared" si="39"/>
        <v>0</v>
      </c>
      <c r="BI210" s="182" t="s">
        <v>136</v>
      </c>
      <c r="BJ210" s="183">
        <f t="shared" si="40"/>
        <v>12600</v>
      </c>
      <c r="BK210" s="182" t="s">
        <v>135</v>
      </c>
      <c r="BL210" s="181" t="s">
        <v>337</v>
      </c>
    </row>
    <row r="211" spans="1:64" s="180" customFormat="1" ht="24" customHeight="1">
      <c r="A211" s="166"/>
      <c r="B211" s="185">
        <f t="shared" si="41"/>
        <v>69</v>
      </c>
      <c r="C211" s="185" t="s">
        <v>193</v>
      </c>
      <c r="D211" s="186" t="s">
        <v>338</v>
      </c>
      <c r="E211" s="187" t="s">
        <v>339</v>
      </c>
      <c r="F211" s="188" t="s">
        <v>134</v>
      </c>
      <c r="G211" s="189">
        <v>1</v>
      </c>
      <c r="H211" s="190">
        <v>720</v>
      </c>
      <c r="I211" s="190">
        <f t="shared" si="31"/>
        <v>720</v>
      </c>
      <c r="J211" s="191"/>
      <c r="K211" s="192"/>
      <c r="L211" s="193"/>
      <c r="M211" s="194"/>
      <c r="N211" s="177"/>
      <c r="O211" s="177"/>
      <c r="P211" s="177"/>
      <c r="Q211" s="177"/>
      <c r="R211" s="177"/>
      <c r="S211" s="178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Q211" s="181"/>
      <c r="AS211" s="181"/>
      <c r="AT211" s="181"/>
      <c r="AX211" s="182"/>
      <c r="BD211" s="183"/>
      <c r="BE211" s="183"/>
      <c r="BF211" s="183"/>
      <c r="BG211" s="183"/>
      <c r="BH211" s="183"/>
      <c r="BI211" s="182"/>
      <c r="BJ211" s="183"/>
      <c r="BK211" s="182"/>
      <c r="BL211" s="181"/>
    </row>
    <row r="212" spans="1:64" s="180" customFormat="1" ht="24" customHeight="1">
      <c r="A212" s="166"/>
      <c r="B212" s="185">
        <f t="shared" si="41"/>
        <v>70</v>
      </c>
      <c r="C212" s="185" t="s">
        <v>193</v>
      </c>
      <c r="D212" s="186" t="s">
        <v>340</v>
      </c>
      <c r="E212" s="187" t="s">
        <v>341</v>
      </c>
      <c r="F212" s="188" t="s">
        <v>134</v>
      </c>
      <c r="G212" s="189">
        <v>1</v>
      </c>
      <c r="H212" s="190">
        <v>935</v>
      </c>
      <c r="I212" s="190">
        <f t="shared" si="31"/>
        <v>935</v>
      </c>
      <c r="J212" s="191"/>
      <c r="K212" s="192"/>
      <c r="L212" s="193"/>
      <c r="M212" s="194"/>
      <c r="N212" s="177"/>
      <c r="O212" s="177"/>
      <c r="P212" s="177"/>
      <c r="Q212" s="177"/>
      <c r="R212" s="177"/>
      <c r="S212" s="178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Q212" s="181"/>
      <c r="AS212" s="181"/>
      <c r="AT212" s="181"/>
      <c r="AX212" s="182"/>
      <c r="BD212" s="183"/>
      <c r="BE212" s="183"/>
      <c r="BF212" s="183"/>
      <c r="BG212" s="183"/>
      <c r="BH212" s="183"/>
      <c r="BI212" s="182"/>
      <c r="BJ212" s="183"/>
      <c r="BK212" s="182"/>
      <c r="BL212" s="181"/>
    </row>
    <row r="213" spans="1:64" s="180" customFormat="1" ht="24" customHeight="1">
      <c r="A213" s="166"/>
      <c r="B213" s="185">
        <f t="shared" si="41"/>
        <v>71</v>
      </c>
      <c r="C213" s="185" t="s">
        <v>193</v>
      </c>
      <c r="D213" s="186" t="s">
        <v>342</v>
      </c>
      <c r="E213" s="187" t="s">
        <v>343</v>
      </c>
      <c r="F213" s="188" t="s">
        <v>134</v>
      </c>
      <c r="G213" s="189">
        <v>2</v>
      </c>
      <c r="H213" s="190">
        <v>2400</v>
      </c>
      <c r="I213" s="190">
        <f t="shared" si="31"/>
        <v>4800</v>
      </c>
      <c r="J213" s="191"/>
      <c r="K213" s="192"/>
      <c r="L213" s="193"/>
      <c r="M213" s="194"/>
      <c r="N213" s="177"/>
      <c r="O213" s="177"/>
      <c r="P213" s="177"/>
      <c r="Q213" s="177"/>
      <c r="R213" s="177"/>
      <c r="S213" s="178"/>
      <c r="T213" s="179"/>
      <c r="U213" s="179"/>
      <c r="V213" s="179"/>
      <c r="W213" s="179"/>
      <c r="X213" s="179"/>
      <c r="Y213" s="179"/>
      <c r="Z213" s="179"/>
      <c r="AA213" s="179"/>
      <c r="AB213" s="179"/>
      <c r="AC213" s="179"/>
      <c r="AD213" s="179"/>
      <c r="AQ213" s="181"/>
      <c r="AS213" s="181"/>
      <c r="AT213" s="181"/>
      <c r="AX213" s="182"/>
      <c r="BD213" s="183"/>
      <c r="BE213" s="183"/>
      <c r="BF213" s="183"/>
      <c r="BG213" s="183"/>
      <c r="BH213" s="183"/>
      <c r="BI213" s="182"/>
      <c r="BJ213" s="183"/>
      <c r="BK213" s="182"/>
      <c r="BL213" s="181"/>
    </row>
    <row r="214" spans="1:64" s="180" customFormat="1" ht="24" customHeight="1">
      <c r="A214" s="166"/>
      <c r="B214" s="185">
        <f t="shared" si="41"/>
        <v>72</v>
      </c>
      <c r="C214" s="185" t="s">
        <v>193</v>
      </c>
      <c r="D214" s="186" t="s">
        <v>344</v>
      </c>
      <c r="E214" s="187" t="s">
        <v>345</v>
      </c>
      <c r="F214" s="188" t="s">
        <v>134</v>
      </c>
      <c r="G214" s="189">
        <v>4</v>
      </c>
      <c r="H214" s="190">
        <v>1100</v>
      </c>
      <c r="I214" s="190">
        <f t="shared" si="31"/>
        <v>4400</v>
      </c>
      <c r="J214" s="191"/>
      <c r="K214" s="192"/>
      <c r="L214" s="193"/>
      <c r="M214" s="194"/>
      <c r="N214" s="177"/>
      <c r="O214" s="177"/>
      <c r="P214" s="177"/>
      <c r="Q214" s="177"/>
      <c r="R214" s="177"/>
      <c r="S214" s="178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Q214" s="181"/>
      <c r="AS214" s="181"/>
      <c r="AT214" s="181"/>
      <c r="AX214" s="182"/>
      <c r="BD214" s="183"/>
      <c r="BE214" s="183"/>
      <c r="BF214" s="183"/>
      <c r="BG214" s="183"/>
      <c r="BH214" s="183"/>
      <c r="BI214" s="182"/>
      <c r="BJ214" s="183"/>
      <c r="BK214" s="182"/>
      <c r="BL214" s="181"/>
    </row>
    <row r="215" spans="1:64" s="180" customFormat="1" ht="24" customHeight="1">
      <c r="A215" s="166"/>
      <c r="B215" s="185">
        <f t="shared" si="41"/>
        <v>73</v>
      </c>
      <c r="C215" s="185" t="s">
        <v>193</v>
      </c>
      <c r="D215" s="186" t="s">
        <v>346</v>
      </c>
      <c r="E215" s="187" t="s">
        <v>347</v>
      </c>
      <c r="F215" s="188" t="s">
        <v>134</v>
      </c>
      <c r="G215" s="189">
        <v>2</v>
      </c>
      <c r="H215" s="190">
        <v>900</v>
      </c>
      <c r="I215" s="190">
        <f t="shared" si="31"/>
        <v>1800</v>
      </c>
      <c r="J215" s="191"/>
      <c r="K215" s="192"/>
      <c r="L215" s="193"/>
      <c r="M215" s="194"/>
      <c r="N215" s="177"/>
      <c r="O215" s="177"/>
      <c r="P215" s="177"/>
      <c r="Q215" s="177"/>
      <c r="R215" s="177"/>
      <c r="S215" s="178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79"/>
      <c r="AQ215" s="181"/>
      <c r="AS215" s="181"/>
      <c r="AT215" s="181"/>
      <c r="AX215" s="182"/>
      <c r="BD215" s="183"/>
      <c r="BE215" s="183"/>
      <c r="BF215" s="183"/>
      <c r="BG215" s="183"/>
      <c r="BH215" s="183"/>
      <c r="BI215" s="182"/>
      <c r="BJ215" s="183"/>
      <c r="BK215" s="182"/>
      <c r="BL215" s="181"/>
    </row>
    <row r="216" spans="1:64" s="180" customFormat="1" ht="24" customHeight="1">
      <c r="A216" s="166"/>
      <c r="B216" s="185">
        <f t="shared" si="41"/>
        <v>74</v>
      </c>
      <c r="C216" s="185" t="s">
        <v>193</v>
      </c>
      <c r="D216" s="186" t="s">
        <v>348</v>
      </c>
      <c r="E216" s="187" t="s">
        <v>349</v>
      </c>
      <c r="F216" s="188" t="s">
        <v>134</v>
      </c>
      <c r="G216" s="189">
        <v>4</v>
      </c>
      <c r="H216" s="190">
        <v>46</v>
      </c>
      <c r="I216" s="190">
        <f t="shared" si="31"/>
        <v>184</v>
      </c>
      <c r="J216" s="191"/>
      <c r="K216" s="192"/>
      <c r="L216" s="193"/>
      <c r="M216" s="194"/>
      <c r="N216" s="177"/>
      <c r="O216" s="177"/>
      <c r="P216" s="177"/>
      <c r="Q216" s="177"/>
      <c r="R216" s="177"/>
      <c r="S216" s="178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179"/>
      <c r="AQ216" s="181"/>
      <c r="AS216" s="181"/>
      <c r="AT216" s="181"/>
      <c r="AX216" s="182"/>
      <c r="BD216" s="183"/>
      <c r="BE216" s="183"/>
      <c r="BF216" s="183"/>
      <c r="BG216" s="183"/>
      <c r="BH216" s="183"/>
      <c r="BI216" s="182"/>
      <c r="BJ216" s="183"/>
      <c r="BK216" s="182"/>
      <c r="BL216" s="181"/>
    </row>
    <row r="217" spans="1:64" s="180" customFormat="1" ht="24" customHeight="1">
      <c r="A217" s="166"/>
      <c r="B217" s="185">
        <f t="shared" si="41"/>
        <v>75</v>
      </c>
      <c r="C217" s="185" t="s">
        <v>193</v>
      </c>
      <c r="D217" s="186" t="s">
        <v>350</v>
      </c>
      <c r="E217" s="187" t="s">
        <v>351</v>
      </c>
      <c r="F217" s="188" t="s">
        <v>134</v>
      </c>
      <c r="G217" s="189">
        <v>5</v>
      </c>
      <c r="H217" s="190">
        <v>22</v>
      </c>
      <c r="I217" s="190">
        <f t="shared" si="31"/>
        <v>110</v>
      </c>
      <c r="J217" s="191"/>
      <c r="K217" s="192"/>
      <c r="L217" s="193"/>
      <c r="M217" s="194"/>
      <c r="N217" s="177"/>
      <c r="O217" s="177"/>
      <c r="P217" s="177"/>
      <c r="Q217" s="177"/>
      <c r="R217" s="177"/>
      <c r="S217" s="178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Q217" s="181"/>
      <c r="AS217" s="181"/>
      <c r="AT217" s="181"/>
      <c r="AX217" s="182"/>
      <c r="BD217" s="183"/>
      <c r="BE217" s="183"/>
      <c r="BF217" s="183"/>
      <c r="BG217" s="183"/>
      <c r="BH217" s="183"/>
      <c r="BI217" s="182"/>
      <c r="BJ217" s="183"/>
      <c r="BK217" s="182"/>
      <c r="BL217" s="181"/>
    </row>
    <row r="218" spans="1:64" s="180" customFormat="1" ht="24" customHeight="1">
      <c r="A218" s="166"/>
      <c r="B218" s="185">
        <f t="shared" si="41"/>
        <v>76</v>
      </c>
      <c r="C218" s="185" t="s">
        <v>193</v>
      </c>
      <c r="D218" s="186" t="s">
        <v>352</v>
      </c>
      <c r="E218" s="187" t="s">
        <v>353</v>
      </c>
      <c r="F218" s="188" t="s">
        <v>134</v>
      </c>
      <c r="G218" s="189">
        <v>3</v>
      </c>
      <c r="H218" s="190">
        <v>26</v>
      </c>
      <c r="I218" s="190">
        <f t="shared" si="31"/>
        <v>78</v>
      </c>
      <c r="J218" s="191"/>
      <c r="K218" s="192"/>
      <c r="L218" s="193"/>
      <c r="M218" s="194"/>
      <c r="N218" s="177"/>
      <c r="O218" s="177"/>
      <c r="P218" s="177"/>
      <c r="Q218" s="177"/>
      <c r="R218" s="177"/>
      <c r="S218" s="178"/>
      <c r="T218" s="179"/>
      <c r="U218" s="179"/>
      <c r="V218" s="179"/>
      <c r="W218" s="179"/>
      <c r="X218" s="179"/>
      <c r="Y218" s="179"/>
      <c r="Z218" s="179"/>
      <c r="AA218" s="179"/>
      <c r="AB218" s="179"/>
      <c r="AC218" s="179"/>
      <c r="AD218" s="179"/>
      <c r="AQ218" s="181"/>
      <c r="AS218" s="181"/>
      <c r="AT218" s="181"/>
      <c r="AX218" s="182"/>
      <c r="BD218" s="183"/>
      <c r="BE218" s="183"/>
      <c r="BF218" s="183"/>
      <c r="BG218" s="183"/>
      <c r="BH218" s="183"/>
      <c r="BI218" s="182"/>
      <c r="BJ218" s="183"/>
      <c r="BK218" s="182"/>
      <c r="BL218" s="181"/>
    </row>
    <row r="219" spans="1:64" s="180" customFormat="1" ht="24" customHeight="1">
      <c r="A219" s="166"/>
      <c r="B219" s="185">
        <f t="shared" si="41"/>
        <v>77</v>
      </c>
      <c r="C219" s="185" t="s">
        <v>193</v>
      </c>
      <c r="D219" s="186" t="s">
        <v>354</v>
      </c>
      <c r="E219" s="187" t="s">
        <v>355</v>
      </c>
      <c r="F219" s="188" t="s">
        <v>134</v>
      </c>
      <c r="G219" s="189">
        <v>1</v>
      </c>
      <c r="H219" s="190">
        <v>6.7</v>
      </c>
      <c r="I219" s="190">
        <f t="shared" si="31"/>
        <v>6.7</v>
      </c>
      <c r="J219" s="191"/>
      <c r="K219" s="192"/>
      <c r="L219" s="193"/>
      <c r="M219" s="194"/>
      <c r="N219" s="177"/>
      <c r="O219" s="177"/>
      <c r="P219" s="177"/>
      <c r="Q219" s="177"/>
      <c r="R219" s="177"/>
      <c r="S219" s="178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179"/>
      <c r="AQ219" s="181"/>
      <c r="AS219" s="181"/>
      <c r="AT219" s="181"/>
      <c r="AX219" s="182"/>
      <c r="BD219" s="183"/>
      <c r="BE219" s="183"/>
      <c r="BF219" s="183"/>
      <c r="BG219" s="183"/>
      <c r="BH219" s="183"/>
      <c r="BI219" s="182"/>
      <c r="BJ219" s="183"/>
      <c r="BK219" s="182"/>
      <c r="BL219" s="181"/>
    </row>
    <row r="220" spans="1:64" s="180" customFormat="1" ht="24" customHeight="1">
      <c r="A220" s="166"/>
      <c r="B220" s="185">
        <f t="shared" si="41"/>
        <v>78</v>
      </c>
      <c r="C220" s="185" t="s">
        <v>193</v>
      </c>
      <c r="D220" s="186" t="s">
        <v>356</v>
      </c>
      <c r="E220" s="187" t="s">
        <v>357</v>
      </c>
      <c r="F220" s="188" t="s">
        <v>134</v>
      </c>
      <c r="G220" s="189">
        <v>728</v>
      </c>
      <c r="H220" s="190">
        <v>3.8</v>
      </c>
      <c r="I220" s="190">
        <f t="shared" si="31"/>
        <v>2766.4</v>
      </c>
      <c r="J220" s="191"/>
      <c r="K220" s="192"/>
      <c r="L220" s="193"/>
      <c r="M220" s="194"/>
      <c r="N220" s="177"/>
      <c r="O220" s="177"/>
      <c r="P220" s="177"/>
      <c r="Q220" s="177"/>
      <c r="R220" s="177"/>
      <c r="S220" s="178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Q220" s="181"/>
      <c r="AS220" s="181"/>
      <c r="AT220" s="181"/>
      <c r="AX220" s="182"/>
      <c r="BD220" s="183"/>
      <c r="BE220" s="183"/>
      <c r="BF220" s="183"/>
      <c r="BG220" s="183"/>
      <c r="BH220" s="183"/>
      <c r="BI220" s="182"/>
      <c r="BJ220" s="183"/>
      <c r="BK220" s="182"/>
      <c r="BL220" s="181"/>
    </row>
    <row r="221" spans="1:62" s="196" customFormat="1" ht="22.5" customHeight="1">
      <c r="A221" s="195"/>
      <c r="B221" s="206"/>
      <c r="C221" s="207" t="s">
        <v>72</v>
      </c>
      <c r="D221" s="208" t="s">
        <v>312</v>
      </c>
      <c r="E221" s="208" t="s">
        <v>358</v>
      </c>
      <c r="F221" s="206"/>
      <c r="G221" s="206">
        <f>SUBTOTAL(9,G222:G229)</f>
        <v>7912</v>
      </c>
      <c r="H221" s="206"/>
      <c r="I221" s="209">
        <f>BJ221</f>
        <v>12549.12</v>
      </c>
      <c r="J221" s="206"/>
      <c r="K221" s="210" t="s">
        <v>359</v>
      </c>
      <c r="L221" s="211"/>
      <c r="M221" s="212"/>
      <c r="N221" s="213"/>
      <c r="O221" s="213"/>
      <c r="P221" s="213"/>
      <c r="Q221" s="213"/>
      <c r="R221" s="213"/>
      <c r="S221" s="214"/>
      <c r="T221" s="215"/>
      <c r="U221" s="216" t="s">
        <v>360</v>
      </c>
      <c r="AQ221" s="197" t="s">
        <v>80</v>
      </c>
      <c r="AS221" s="204" t="s">
        <v>72</v>
      </c>
      <c r="AT221" s="204" t="s">
        <v>80</v>
      </c>
      <c r="AX221" s="197" t="s">
        <v>129</v>
      </c>
      <c r="BJ221" s="205">
        <f>SUM(BJ222:BJ229)</f>
        <v>12549.12</v>
      </c>
    </row>
    <row r="222" spans="1:64" s="180" customFormat="1" ht="16.5" customHeight="1">
      <c r="A222" s="166"/>
      <c r="B222" s="217">
        <f>B220+1</f>
        <v>79</v>
      </c>
      <c r="C222" s="217" t="s">
        <v>193</v>
      </c>
      <c r="D222" s="218" t="s">
        <v>361</v>
      </c>
      <c r="E222" s="219" t="s">
        <v>362</v>
      </c>
      <c r="F222" s="220" t="s">
        <v>134</v>
      </c>
      <c r="G222" s="221">
        <f aca="true" t="shared" si="42" ref="G222:G229">K222*U222</f>
        <v>688</v>
      </c>
      <c r="H222" s="222">
        <v>1.8</v>
      </c>
      <c r="I222" s="222">
        <f aca="true" t="shared" si="43" ref="I222:I229">ROUND(H222*G222,2)</f>
        <v>1238.4</v>
      </c>
      <c r="J222" s="219"/>
      <c r="K222" s="223">
        <v>1</v>
      </c>
      <c r="L222" s="224"/>
      <c r="M222" s="212"/>
      <c r="N222" s="213"/>
      <c r="O222" s="213"/>
      <c r="P222" s="213"/>
      <c r="Q222" s="213"/>
      <c r="R222" s="213"/>
      <c r="S222" s="214"/>
      <c r="T222" s="215"/>
      <c r="U222" s="225">
        <v>688</v>
      </c>
      <c r="V222" s="179"/>
      <c r="W222" s="179"/>
      <c r="X222" s="179"/>
      <c r="Y222" s="179"/>
      <c r="Z222" s="179"/>
      <c r="AA222" s="179"/>
      <c r="AB222" s="179"/>
      <c r="AC222" s="179"/>
      <c r="AD222" s="179"/>
      <c r="AQ222" s="181" t="s">
        <v>197</v>
      </c>
      <c r="AS222" s="181" t="s">
        <v>193</v>
      </c>
      <c r="AT222" s="181" t="s">
        <v>136</v>
      </c>
      <c r="AX222" s="182" t="s">
        <v>129</v>
      </c>
      <c r="BD222" s="183">
        <f aca="true" t="shared" si="44" ref="BD222:BD229">IF(M222="základná",I222,0)</f>
        <v>0</v>
      </c>
      <c r="BE222" s="183">
        <f aca="true" t="shared" si="45" ref="BE222:BE229">IF(M222="znížená",I222,0)</f>
        <v>0</v>
      </c>
      <c r="BF222" s="183">
        <f aca="true" t="shared" si="46" ref="BF222:BF229">IF(M222="zákl. prenesená",I222,0)</f>
        <v>0</v>
      </c>
      <c r="BG222" s="183">
        <f aca="true" t="shared" si="47" ref="BG222:BG229">IF(M222="zníž. prenesená",I222,0)</f>
        <v>0</v>
      </c>
      <c r="BH222" s="183">
        <f aca="true" t="shared" si="48" ref="BH222:BH229">IF(M222="nulová",I222,0)</f>
        <v>0</v>
      </c>
      <c r="BI222" s="182" t="s">
        <v>136</v>
      </c>
      <c r="BJ222" s="183">
        <f aca="true" t="shared" si="49" ref="BJ222:BJ229">ROUND(H222*G222,2)</f>
        <v>1238.4</v>
      </c>
      <c r="BK222" s="182" t="s">
        <v>135</v>
      </c>
      <c r="BL222" s="181" t="s">
        <v>363</v>
      </c>
    </row>
    <row r="223" spans="1:64" s="180" customFormat="1" ht="16.5" customHeight="1">
      <c r="A223" s="166"/>
      <c r="B223" s="226">
        <f aca="true" t="shared" si="50" ref="B223:B229">B222+1</f>
        <v>80</v>
      </c>
      <c r="C223" s="217" t="s">
        <v>193</v>
      </c>
      <c r="D223" s="218" t="s">
        <v>364</v>
      </c>
      <c r="E223" s="219" t="s">
        <v>365</v>
      </c>
      <c r="F223" s="220" t="s">
        <v>134</v>
      </c>
      <c r="G223" s="221">
        <f t="shared" si="42"/>
        <v>1376</v>
      </c>
      <c r="H223" s="222">
        <v>2.1</v>
      </c>
      <c r="I223" s="222">
        <f t="shared" si="43"/>
        <v>2889.6</v>
      </c>
      <c r="J223" s="219"/>
      <c r="K223" s="223">
        <v>2</v>
      </c>
      <c r="L223" s="224"/>
      <c r="M223" s="212"/>
      <c r="N223" s="213"/>
      <c r="O223" s="213"/>
      <c r="P223" s="213"/>
      <c r="Q223" s="213"/>
      <c r="R223" s="213"/>
      <c r="S223" s="214"/>
      <c r="T223" s="215"/>
      <c r="U223" s="225">
        <v>688</v>
      </c>
      <c r="V223" s="179"/>
      <c r="W223" s="179"/>
      <c r="X223" s="179"/>
      <c r="Y223" s="179"/>
      <c r="Z223" s="179"/>
      <c r="AA223" s="179"/>
      <c r="AB223" s="179"/>
      <c r="AC223" s="179"/>
      <c r="AD223" s="179"/>
      <c r="AQ223" s="181" t="s">
        <v>197</v>
      </c>
      <c r="AS223" s="181" t="s">
        <v>193</v>
      </c>
      <c r="AT223" s="181" t="s">
        <v>136</v>
      </c>
      <c r="AX223" s="182" t="s">
        <v>129</v>
      </c>
      <c r="BD223" s="183">
        <f t="shared" si="44"/>
        <v>0</v>
      </c>
      <c r="BE223" s="183">
        <f t="shared" si="45"/>
        <v>0</v>
      </c>
      <c r="BF223" s="183">
        <f t="shared" si="46"/>
        <v>0</v>
      </c>
      <c r="BG223" s="183">
        <f t="shared" si="47"/>
        <v>0</v>
      </c>
      <c r="BH223" s="183">
        <f t="shared" si="48"/>
        <v>0</v>
      </c>
      <c r="BI223" s="182" t="s">
        <v>136</v>
      </c>
      <c r="BJ223" s="183">
        <f t="shared" si="49"/>
        <v>2889.6</v>
      </c>
      <c r="BK223" s="182" t="s">
        <v>135</v>
      </c>
      <c r="BL223" s="181" t="s">
        <v>366</v>
      </c>
    </row>
    <row r="224" spans="1:64" s="180" customFormat="1" ht="16.5" customHeight="1">
      <c r="A224" s="166"/>
      <c r="B224" s="226">
        <f t="shared" si="50"/>
        <v>81</v>
      </c>
      <c r="C224" s="217" t="s">
        <v>193</v>
      </c>
      <c r="D224" s="218" t="s">
        <v>367</v>
      </c>
      <c r="E224" s="219" t="s">
        <v>368</v>
      </c>
      <c r="F224" s="220" t="s">
        <v>134</v>
      </c>
      <c r="G224" s="221">
        <f t="shared" si="42"/>
        <v>2064</v>
      </c>
      <c r="H224" s="222">
        <v>1.9</v>
      </c>
      <c r="I224" s="222">
        <f t="shared" si="43"/>
        <v>3921.6</v>
      </c>
      <c r="J224" s="219"/>
      <c r="K224" s="223">
        <v>3</v>
      </c>
      <c r="L224" s="224"/>
      <c r="M224" s="212"/>
      <c r="N224" s="213"/>
      <c r="O224" s="213"/>
      <c r="P224" s="213"/>
      <c r="Q224" s="213"/>
      <c r="R224" s="213"/>
      <c r="S224" s="214"/>
      <c r="T224" s="215"/>
      <c r="U224" s="225">
        <v>688</v>
      </c>
      <c r="V224" s="179"/>
      <c r="W224" s="179"/>
      <c r="X224" s="179"/>
      <c r="Y224" s="179"/>
      <c r="Z224" s="179"/>
      <c r="AA224" s="179"/>
      <c r="AB224" s="179"/>
      <c r="AC224" s="179"/>
      <c r="AD224" s="179"/>
      <c r="AQ224" s="181" t="s">
        <v>197</v>
      </c>
      <c r="AS224" s="181" t="s">
        <v>193</v>
      </c>
      <c r="AT224" s="181" t="s">
        <v>136</v>
      </c>
      <c r="AX224" s="182" t="s">
        <v>129</v>
      </c>
      <c r="BD224" s="183">
        <f t="shared" si="44"/>
        <v>0</v>
      </c>
      <c r="BE224" s="183">
        <f t="shared" si="45"/>
        <v>0</v>
      </c>
      <c r="BF224" s="183">
        <f t="shared" si="46"/>
        <v>0</v>
      </c>
      <c r="BG224" s="183">
        <f t="shared" si="47"/>
        <v>0</v>
      </c>
      <c r="BH224" s="183">
        <f t="shared" si="48"/>
        <v>0</v>
      </c>
      <c r="BI224" s="182" t="s">
        <v>136</v>
      </c>
      <c r="BJ224" s="183">
        <f t="shared" si="49"/>
        <v>3921.6</v>
      </c>
      <c r="BK224" s="182" t="s">
        <v>135</v>
      </c>
      <c r="BL224" s="181" t="s">
        <v>369</v>
      </c>
    </row>
    <row r="225" spans="1:64" s="180" customFormat="1" ht="16.5" customHeight="1">
      <c r="A225" s="166"/>
      <c r="B225" s="226">
        <f t="shared" si="50"/>
        <v>82</v>
      </c>
      <c r="C225" s="217" t="s">
        <v>193</v>
      </c>
      <c r="D225" s="218" t="s">
        <v>370</v>
      </c>
      <c r="E225" s="219" t="s">
        <v>371</v>
      </c>
      <c r="F225" s="220" t="s">
        <v>134</v>
      </c>
      <c r="G225" s="221">
        <f t="shared" si="42"/>
        <v>688</v>
      </c>
      <c r="H225" s="222">
        <v>1.9</v>
      </c>
      <c r="I225" s="222">
        <f t="shared" si="43"/>
        <v>1307.2</v>
      </c>
      <c r="J225" s="219"/>
      <c r="K225" s="223">
        <v>1</v>
      </c>
      <c r="L225" s="224"/>
      <c r="M225" s="212"/>
      <c r="N225" s="213"/>
      <c r="O225" s="213"/>
      <c r="P225" s="213"/>
      <c r="Q225" s="213"/>
      <c r="R225" s="213"/>
      <c r="S225" s="214"/>
      <c r="T225" s="215"/>
      <c r="U225" s="225">
        <v>688</v>
      </c>
      <c r="V225" s="179"/>
      <c r="W225" s="179"/>
      <c r="X225" s="179"/>
      <c r="Y225" s="179"/>
      <c r="Z225" s="179"/>
      <c r="AA225" s="179"/>
      <c r="AB225" s="179"/>
      <c r="AC225" s="179"/>
      <c r="AD225" s="179"/>
      <c r="AQ225" s="181" t="s">
        <v>197</v>
      </c>
      <c r="AS225" s="181" t="s">
        <v>193</v>
      </c>
      <c r="AT225" s="181" t="s">
        <v>136</v>
      </c>
      <c r="AX225" s="182" t="s">
        <v>129</v>
      </c>
      <c r="BD225" s="183">
        <f t="shared" si="44"/>
        <v>0</v>
      </c>
      <c r="BE225" s="183">
        <f t="shared" si="45"/>
        <v>0</v>
      </c>
      <c r="BF225" s="183">
        <f t="shared" si="46"/>
        <v>0</v>
      </c>
      <c r="BG225" s="183">
        <f t="shared" si="47"/>
        <v>0</v>
      </c>
      <c r="BH225" s="183">
        <f t="shared" si="48"/>
        <v>0</v>
      </c>
      <c r="BI225" s="182" t="s">
        <v>136</v>
      </c>
      <c r="BJ225" s="183">
        <f t="shared" si="49"/>
        <v>1307.2</v>
      </c>
      <c r="BK225" s="182" t="s">
        <v>135</v>
      </c>
      <c r="BL225" s="181" t="s">
        <v>372</v>
      </c>
    </row>
    <row r="226" spans="1:64" s="180" customFormat="1" ht="16.5" customHeight="1">
      <c r="A226" s="166"/>
      <c r="B226" s="226">
        <f t="shared" si="50"/>
        <v>83</v>
      </c>
      <c r="C226" s="217" t="s">
        <v>193</v>
      </c>
      <c r="D226" s="218" t="s">
        <v>373</v>
      </c>
      <c r="E226" s="219" t="s">
        <v>374</v>
      </c>
      <c r="F226" s="220" t="s">
        <v>134</v>
      </c>
      <c r="G226" s="221">
        <f t="shared" si="42"/>
        <v>344</v>
      </c>
      <c r="H226" s="222">
        <v>1</v>
      </c>
      <c r="I226" s="222">
        <f t="shared" si="43"/>
        <v>344</v>
      </c>
      <c r="J226" s="219"/>
      <c r="K226" s="223">
        <v>0.5</v>
      </c>
      <c r="L226" s="224"/>
      <c r="M226" s="212"/>
      <c r="N226" s="213"/>
      <c r="O226" s="213"/>
      <c r="P226" s="213"/>
      <c r="Q226" s="213"/>
      <c r="R226" s="213"/>
      <c r="S226" s="214"/>
      <c r="T226" s="215"/>
      <c r="U226" s="225">
        <v>688</v>
      </c>
      <c r="V226" s="179"/>
      <c r="W226" s="179"/>
      <c r="X226" s="179"/>
      <c r="Y226" s="179"/>
      <c r="Z226" s="179"/>
      <c r="AA226" s="179"/>
      <c r="AB226" s="179"/>
      <c r="AC226" s="179"/>
      <c r="AD226" s="179"/>
      <c r="AQ226" s="181" t="s">
        <v>197</v>
      </c>
      <c r="AS226" s="181" t="s">
        <v>193</v>
      </c>
      <c r="AT226" s="181" t="s">
        <v>136</v>
      </c>
      <c r="AX226" s="182" t="s">
        <v>129</v>
      </c>
      <c r="BD226" s="183">
        <f t="shared" si="44"/>
        <v>0</v>
      </c>
      <c r="BE226" s="183">
        <f t="shared" si="45"/>
        <v>0</v>
      </c>
      <c r="BF226" s="183">
        <f t="shared" si="46"/>
        <v>0</v>
      </c>
      <c r="BG226" s="183">
        <f t="shared" si="47"/>
        <v>0</v>
      </c>
      <c r="BH226" s="183">
        <f t="shared" si="48"/>
        <v>0</v>
      </c>
      <c r="BI226" s="182" t="s">
        <v>136</v>
      </c>
      <c r="BJ226" s="183">
        <f t="shared" si="49"/>
        <v>344</v>
      </c>
      <c r="BK226" s="182" t="s">
        <v>135</v>
      </c>
      <c r="BL226" s="181" t="s">
        <v>375</v>
      </c>
    </row>
    <row r="227" spans="1:64" s="180" customFormat="1" ht="16.5" customHeight="1">
      <c r="A227" s="166"/>
      <c r="B227" s="226">
        <f t="shared" si="50"/>
        <v>84</v>
      </c>
      <c r="C227" s="217" t="s">
        <v>193</v>
      </c>
      <c r="D227" s="218" t="s">
        <v>376</v>
      </c>
      <c r="E227" s="219" t="s">
        <v>377</v>
      </c>
      <c r="F227" s="220" t="s">
        <v>134</v>
      </c>
      <c r="G227" s="221">
        <f t="shared" si="42"/>
        <v>688</v>
      </c>
      <c r="H227" s="222">
        <v>1.2</v>
      </c>
      <c r="I227" s="222">
        <f t="shared" si="43"/>
        <v>825.6</v>
      </c>
      <c r="J227" s="219"/>
      <c r="K227" s="223">
        <v>1</v>
      </c>
      <c r="L227" s="224"/>
      <c r="M227" s="212"/>
      <c r="N227" s="213"/>
      <c r="O227" s="213"/>
      <c r="P227" s="213"/>
      <c r="Q227" s="213"/>
      <c r="R227" s="213"/>
      <c r="S227" s="214"/>
      <c r="T227" s="215"/>
      <c r="U227" s="225">
        <v>688</v>
      </c>
      <c r="V227" s="179"/>
      <c r="W227" s="179"/>
      <c r="X227" s="179"/>
      <c r="Y227" s="179"/>
      <c r="Z227" s="179"/>
      <c r="AA227" s="179"/>
      <c r="AB227" s="179"/>
      <c r="AC227" s="179"/>
      <c r="AD227" s="179"/>
      <c r="AQ227" s="181" t="s">
        <v>197</v>
      </c>
      <c r="AS227" s="181" t="s">
        <v>193</v>
      </c>
      <c r="AT227" s="181" t="s">
        <v>136</v>
      </c>
      <c r="AX227" s="182" t="s">
        <v>129</v>
      </c>
      <c r="BD227" s="183">
        <f t="shared" si="44"/>
        <v>0</v>
      </c>
      <c r="BE227" s="183">
        <f t="shared" si="45"/>
        <v>0</v>
      </c>
      <c r="BF227" s="183">
        <f t="shared" si="46"/>
        <v>0</v>
      </c>
      <c r="BG227" s="183">
        <f t="shared" si="47"/>
        <v>0</v>
      </c>
      <c r="BH227" s="183">
        <f t="shared" si="48"/>
        <v>0</v>
      </c>
      <c r="BI227" s="182" t="s">
        <v>136</v>
      </c>
      <c r="BJ227" s="183">
        <f t="shared" si="49"/>
        <v>825.6</v>
      </c>
      <c r="BK227" s="182" t="s">
        <v>135</v>
      </c>
      <c r="BL227" s="181" t="s">
        <v>378</v>
      </c>
    </row>
    <row r="228" spans="1:64" s="180" customFormat="1" ht="16.5" customHeight="1">
      <c r="A228" s="166"/>
      <c r="B228" s="226">
        <f t="shared" si="50"/>
        <v>85</v>
      </c>
      <c r="C228" s="217" t="s">
        <v>193</v>
      </c>
      <c r="D228" s="218" t="s">
        <v>379</v>
      </c>
      <c r="E228" s="219" t="s">
        <v>380</v>
      </c>
      <c r="F228" s="220" t="s">
        <v>134</v>
      </c>
      <c r="G228" s="221">
        <f t="shared" si="42"/>
        <v>688</v>
      </c>
      <c r="H228" s="222">
        <v>2.1</v>
      </c>
      <c r="I228" s="222">
        <f t="shared" si="43"/>
        <v>1444.8</v>
      </c>
      <c r="J228" s="219"/>
      <c r="K228" s="223">
        <v>1</v>
      </c>
      <c r="L228" s="224"/>
      <c r="M228" s="212"/>
      <c r="N228" s="213"/>
      <c r="O228" s="213"/>
      <c r="P228" s="213"/>
      <c r="Q228" s="213"/>
      <c r="R228" s="213"/>
      <c r="S228" s="214"/>
      <c r="T228" s="215"/>
      <c r="U228" s="225">
        <v>688</v>
      </c>
      <c r="V228" s="179"/>
      <c r="W228" s="179"/>
      <c r="X228" s="179"/>
      <c r="Y228" s="179"/>
      <c r="Z228" s="179"/>
      <c r="AA228" s="179"/>
      <c r="AB228" s="179"/>
      <c r="AC228" s="179"/>
      <c r="AD228" s="179"/>
      <c r="AQ228" s="181" t="s">
        <v>197</v>
      </c>
      <c r="AS228" s="181" t="s">
        <v>193</v>
      </c>
      <c r="AT228" s="181" t="s">
        <v>136</v>
      </c>
      <c r="AX228" s="182" t="s">
        <v>129</v>
      </c>
      <c r="BD228" s="183">
        <f t="shared" si="44"/>
        <v>0</v>
      </c>
      <c r="BE228" s="183">
        <f t="shared" si="45"/>
        <v>0</v>
      </c>
      <c r="BF228" s="183">
        <f t="shared" si="46"/>
        <v>0</v>
      </c>
      <c r="BG228" s="183">
        <f t="shared" si="47"/>
        <v>0</v>
      </c>
      <c r="BH228" s="183">
        <f t="shared" si="48"/>
        <v>0</v>
      </c>
      <c r="BI228" s="182" t="s">
        <v>136</v>
      </c>
      <c r="BJ228" s="183">
        <f t="shared" si="49"/>
        <v>1444.8</v>
      </c>
      <c r="BK228" s="182" t="s">
        <v>135</v>
      </c>
      <c r="BL228" s="181" t="s">
        <v>381</v>
      </c>
    </row>
    <row r="229" spans="1:64" s="180" customFormat="1" ht="16.5" customHeight="1">
      <c r="A229" s="166"/>
      <c r="B229" s="226">
        <f t="shared" si="50"/>
        <v>86</v>
      </c>
      <c r="C229" s="217" t="s">
        <v>193</v>
      </c>
      <c r="D229" s="218" t="s">
        <v>382</v>
      </c>
      <c r="E229" s="219" t="s">
        <v>383</v>
      </c>
      <c r="F229" s="220" t="s">
        <v>134</v>
      </c>
      <c r="G229" s="221">
        <f t="shared" si="42"/>
        <v>1376</v>
      </c>
      <c r="H229" s="222">
        <v>0.42</v>
      </c>
      <c r="I229" s="222">
        <f t="shared" si="43"/>
        <v>577.92</v>
      </c>
      <c r="J229" s="219"/>
      <c r="K229" s="223">
        <v>2</v>
      </c>
      <c r="L229" s="224"/>
      <c r="M229" s="212"/>
      <c r="N229" s="213"/>
      <c r="O229" s="213"/>
      <c r="P229" s="213"/>
      <c r="Q229" s="213"/>
      <c r="R229" s="213"/>
      <c r="S229" s="214"/>
      <c r="T229" s="215"/>
      <c r="U229" s="225">
        <v>688</v>
      </c>
      <c r="V229" s="179"/>
      <c r="W229" s="179"/>
      <c r="X229" s="179"/>
      <c r="Y229" s="179"/>
      <c r="Z229" s="179"/>
      <c r="AA229" s="179"/>
      <c r="AB229" s="179"/>
      <c r="AC229" s="179"/>
      <c r="AD229" s="179"/>
      <c r="AQ229" s="181" t="s">
        <v>197</v>
      </c>
      <c r="AS229" s="181" t="s">
        <v>193</v>
      </c>
      <c r="AT229" s="181" t="s">
        <v>136</v>
      </c>
      <c r="AX229" s="182" t="s">
        <v>129</v>
      </c>
      <c r="BD229" s="183">
        <f t="shared" si="44"/>
        <v>0</v>
      </c>
      <c r="BE229" s="183">
        <f t="shared" si="45"/>
        <v>0</v>
      </c>
      <c r="BF229" s="183">
        <f t="shared" si="46"/>
        <v>0</v>
      </c>
      <c r="BG229" s="183">
        <f t="shared" si="47"/>
        <v>0</v>
      </c>
      <c r="BH229" s="183">
        <f t="shared" si="48"/>
        <v>0</v>
      </c>
      <c r="BI229" s="182" t="s">
        <v>136</v>
      </c>
      <c r="BJ229" s="183">
        <f t="shared" si="49"/>
        <v>577.92</v>
      </c>
      <c r="BK229" s="182" t="s">
        <v>135</v>
      </c>
      <c r="BL229" s="181" t="s">
        <v>384</v>
      </c>
    </row>
    <row r="230" spans="1:62" s="196" customFormat="1" ht="22.5" customHeight="1">
      <c r="A230" s="195"/>
      <c r="C230" s="197" t="s">
        <v>72</v>
      </c>
      <c r="D230" s="198" t="s">
        <v>385</v>
      </c>
      <c r="E230" s="198" t="s">
        <v>386</v>
      </c>
      <c r="I230" s="199">
        <f>BJ230</f>
        <v>17672.46</v>
      </c>
      <c r="K230" s="195"/>
      <c r="L230" s="200"/>
      <c r="M230" s="201"/>
      <c r="N230" s="201"/>
      <c r="O230" s="202">
        <f>SUM(O231:O232)</f>
        <v>46.80408</v>
      </c>
      <c r="P230" s="201"/>
      <c r="Q230" s="202">
        <f>SUM(Q231:Q232)</f>
        <v>160.92864</v>
      </c>
      <c r="R230" s="201"/>
      <c r="S230" s="203">
        <f>SUM(S231:S232)</f>
        <v>0</v>
      </c>
      <c r="AQ230" s="197" t="s">
        <v>80</v>
      </c>
      <c r="AS230" s="204" t="s">
        <v>72</v>
      </c>
      <c r="AT230" s="204" t="s">
        <v>80</v>
      </c>
      <c r="AX230" s="197" t="s">
        <v>129</v>
      </c>
      <c r="BJ230" s="205">
        <f>SUM(BJ231:BJ232)</f>
        <v>17672.46</v>
      </c>
    </row>
    <row r="231" spans="1:64" s="180" customFormat="1" ht="37.5" customHeight="1">
      <c r="A231" s="166"/>
      <c r="B231" s="167">
        <f>B229+1</f>
        <v>87</v>
      </c>
      <c r="C231" s="167" t="s">
        <v>131</v>
      </c>
      <c r="D231" s="168" t="s">
        <v>387</v>
      </c>
      <c r="E231" s="169" t="s">
        <v>388</v>
      </c>
      <c r="F231" s="170" t="s">
        <v>172</v>
      </c>
      <c r="G231" s="171">
        <v>834</v>
      </c>
      <c r="H231" s="172">
        <v>1.65</v>
      </c>
      <c r="I231" s="172">
        <f>ROUND(H231*G231,2)</f>
        <v>1376.1</v>
      </c>
      <c r="J231" s="173"/>
      <c r="K231" s="174"/>
      <c r="L231" s="175"/>
      <c r="M231" s="176" t="s">
        <v>39</v>
      </c>
      <c r="N231" s="177">
        <v>0.02212</v>
      </c>
      <c r="O231" s="177">
        <f>N231*G231</f>
        <v>18.44808</v>
      </c>
      <c r="P231" s="177">
        <v>0.08096</v>
      </c>
      <c r="Q231" s="177">
        <f>P231*G231</f>
        <v>67.52064</v>
      </c>
      <c r="R231" s="177">
        <v>0</v>
      </c>
      <c r="S231" s="178">
        <f>R231*G231</f>
        <v>0</v>
      </c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  <c r="AQ231" s="181" t="s">
        <v>135</v>
      </c>
      <c r="AS231" s="181" t="s">
        <v>131</v>
      </c>
      <c r="AT231" s="181" t="s">
        <v>136</v>
      </c>
      <c r="AX231" s="182" t="s">
        <v>129</v>
      </c>
      <c r="BD231" s="183">
        <f>IF(M231="základná",I231,0)</f>
        <v>0</v>
      </c>
      <c r="BE231" s="183">
        <f>IF(M231="znížená",I231,0)</f>
        <v>1376.1</v>
      </c>
      <c r="BF231" s="183">
        <f>IF(M231="zákl. prenesená",I231,0)</f>
        <v>0</v>
      </c>
      <c r="BG231" s="183">
        <f>IF(M231="zníž. prenesená",I231,0)</f>
        <v>0</v>
      </c>
      <c r="BH231" s="183">
        <f>IF(M231="nulová",I231,0)</f>
        <v>0</v>
      </c>
      <c r="BI231" s="182" t="s">
        <v>136</v>
      </c>
      <c r="BJ231" s="183">
        <f>ROUND(H231*G231,2)</f>
        <v>1376.1</v>
      </c>
      <c r="BK231" s="182" t="s">
        <v>135</v>
      </c>
      <c r="BL231" s="181" t="s">
        <v>389</v>
      </c>
    </row>
    <row r="232" spans="1:64" s="180" customFormat="1" ht="37.5" customHeight="1">
      <c r="A232" s="166"/>
      <c r="B232" s="167">
        <f>B231+1</f>
        <v>88</v>
      </c>
      <c r="C232" s="167" t="s">
        <v>131</v>
      </c>
      <c r="D232" s="168" t="s">
        <v>390</v>
      </c>
      <c r="E232" s="169" t="s">
        <v>391</v>
      </c>
      <c r="F232" s="170" t="s">
        <v>172</v>
      </c>
      <c r="G232" s="171">
        <f>G231</f>
        <v>834</v>
      </c>
      <c r="H232" s="172">
        <v>19.54</v>
      </c>
      <c r="I232" s="172">
        <f>ROUND(H232*G232,2)</f>
        <v>16296.36</v>
      </c>
      <c r="J232" s="173"/>
      <c r="K232" s="174"/>
      <c r="L232" s="175"/>
      <c r="M232" s="176" t="s">
        <v>39</v>
      </c>
      <c r="N232" s="177">
        <v>0.034</v>
      </c>
      <c r="O232" s="177">
        <f>N232*G232</f>
        <v>28.356</v>
      </c>
      <c r="P232" s="177">
        <v>0.112</v>
      </c>
      <c r="Q232" s="177">
        <f>P232*G232</f>
        <v>93.408</v>
      </c>
      <c r="R232" s="177">
        <v>0</v>
      </c>
      <c r="S232" s="178">
        <f>R232*G232</f>
        <v>0</v>
      </c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79"/>
      <c r="AQ232" s="181" t="s">
        <v>135</v>
      </c>
      <c r="AS232" s="181" t="s">
        <v>131</v>
      </c>
      <c r="AT232" s="181" t="s">
        <v>136</v>
      </c>
      <c r="AX232" s="182" t="s">
        <v>129</v>
      </c>
      <c r="BD232" s="183">
        <f>IF(M232="základná",I232,0)</f>
        <v>0</v>
      </c>
      <c r="BE232" s="183">
        <f>IF(M232="znížená",I232,0)</f>
        <v>16296.36</v>
      </c>
      <c r="BF232" s="183">
        <f>IF(M232="zákl. prenesená",I232,0)</f>
        <v>0</v>
      </c>
      <c r="BG232" s="183">
        <f>IF(M232="zníž. prenesená",I232,0)</f>
        <v>0</v>
      </c>
      <c r="BH232" s="183">
        <f>IF(M232="nulová",I232,0)</f>
        <v>0</v>
      </c>
      <c r="BI232" s="182" t="s">
        <v>136</v>
      </c>
      <c r="BJ232" s="183">
        <f>ROUND(H232*G232,2)</f>
        <v>16296.36</v>
      </c>
      <c r="BK232" s="182" t="s">
        <v>135</v>
      </c>
      <c r="BL232" s="181" t="s">
        <v>392</v>
      </c>
    </row>
    <row r="233" spans="1:62" s="196" customFormat="1" ht="22.5" customHeight="1">
      <c r="A233" s="195"/>
      <c r="C233" s="197" t="s">
        <v>72</v>
      </c>
      <c r="D233" s="198" t="s">
        <v>197</v>
      </c>
      <c r="E233" s="198" t="s">
        <v>393</v>
      </c>
      <c r="I233" s="199">
        <f>BJ233</f>
        <v>155.8</v>
      </c>
      <c r="K233" s="195"/>
      <c r="L233" s="200"/>
      <c r="M233" s="201"/>
      <c r="N233" s="201"/>
      <c r="O233" s="202">
        <f>SUM(O234:O235)</f>
        <v>4.332</v>
      </c>
      <c r="P233" s="201"/>
      <c r="Q233" s="202">
        <f>SUM(Q234:Q235)</f>
        <v>0</v>
      </c>
      <c r="R233" s="201"/>
      <c r="S233" s="203">
        <f>SUM(S234:S235)</f>
        <v>0</v>
      </c>
      <c r="AQ233" s="197" t="s">
        <v>80</v>
      </c>
      <c r="AS233" s="204" t="s">
        <v>72</v>
      </c>
      <c r="AT233" s="204" t="s">
        <v>80</v>
      </c>
      <c r="AX233" s="197" t="s">
        <v>129</v>
      </c>
      <c r="BJ233" s="205">
        <f>SUM(BJ234:BJ235)</f>
        <v>155.8</v>
      </c>
    </row>
    <row r="234" spans="1:64" s="180" customFormat="1" ht="24" customHeight="1">
      <c r="A234" s="166"/>
      <c r="B234" s="167">
        <f>B232+1</f>
        <v>89</v>
      </c>
      <c r="C234" s="167" t="s">
        <v>131</v>
      </c>
      <c r="D234" s="168" t="s">
        <v>394</v>
      </c>
      <c r="E234" s="169" t="s">
        <v>395</v>
      </c>
      <c r="F234" s="170" t="s">
        <v>298</v>
      </c>
      <c r="G234" s="171">
        <f>G202*2</f>
        <v>76</v>
      </c>
      <c r="H234" s="172">
        <v>0.81</v>
      </c>
      <c r="I234" s="172">
        <f>ROUND(H234*G234,2)</f>
        <v>61.56</v>
      </c>
      <c r="J234" s="173"/>
      <c r="K234" s="174"/>
      <c r="L234" s="175"/>
      <c r="M234" s="176" t="s">
        <v>39</v>
      </c>
      <c r="N234" s="177">
        <v>0.057</v>
      </c>
      <c r="O234" s="177">
        <f>N234*G234</f>
        <v>4.332</v>
      </c>
      <c r="P234" s="177">
        <v>0</v>
      </c>
      <c r="Q234" s="177">
        <f>P234*G234</f>
        <v>0</v>
      </c>
      <c r="R234" s="177">
        <v>0</v>
      </c>
      <c r="S234" s="178">
        <f>R234*G234</f>
        <v>0</v>
      </c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79"/>
      <c r="AQ234" s="181" t="s">
        <v>135</v>
      </c>
      <c r="AS234" s="181" t="s">
        <v>131</v>
      </c>
      <c r="AT234" s="181" t="s">
        <v>136</v>
      </c>
      <c r="AX234" s="182" t="s">
        <v>129</v>
      </c>
      <c r="BD234" s="183">
        <f>IF(M234="základná",I234,0)</f>
        <v>0</v>
      </c>
      <c r="BE234" s="183">
        <f>IF(M234="znížená",I234,0)</f>
        <v>61.56</v>
      </c>
      <c r="BF234" s="183">
        <f>IF(M234="zákl. prenesená",I234,0)</f>
        <v>0</v>
      </c>
      <c r="BG234" s="183">
        <f>IF(M234="zníž. prenesená",I234,0)</f>
        <v>0</v>
      </c>
      <c r="BH234" s="183">
        <f>IF(M234="nulová",I234,0)</f>
        <v>0</v>
      </c>
      <c r="BI234" s="182" t="s">
        <v>136</v>
      </c>
      <c r="BJ234" s="183">
        <f>ROUND(H234*G234,2)</f>
        <v>61.56</v>
      </c>
      <c r="BK234" s="182" t="s">
        <v>135</v>
      </c>
      <c r="BL234" s="181" t="s">
        <v>396</v>
      </c>
    </row>
    <row r="235" spans="1:64" s="180" customFormat="1" ht="16.5" customHeight="1">
      <c r="A235" s="166"/>
      <c r="B235" s="185">
        <f>B234+1</f>
        <v>90</v>
      </c>
      <c r="C235" s="185" t="s">
        <v>193</v>
      </c>
      <c r="D235" s="186" t="s">
        <v>397</v>
      </c>
      <c r="E235" s="187" t="s">
        <v>398</v>
      </c>
      <c r="F235" s="188" t="s">
        <v>298</v>
      </c>
      <c r="G235" s="189">
        <f>G234</f>
        <v>76</v>
      </c>
      <c r="H235" s="190">
        <v>1.24</v>
      </c>
      <c r="I235" s="190">
        <f>ROUND(H235*G235,2)</f>
        <v>94.24</v>
      </c>
      <c r="J235" s="191"/>
      <c r="K235" s="192"/>
      <c r="L235" s="193"/>
      <c r="M235" s="194" t="s">
        <v>39</v>
      </c>
      <c r="N235" s="177">
        <v>0</v>
      </c>
      <c r="O235" s="177">
        <f>N235*G235</f>
        <v>0</v>
      </c>
      <c r="P235" s="177">
        <v>0</v>
      </c>
      <c r="Q235" s="177">
        <f>P235*G235</f>
        <v>0</v>
      </c>
      <c r="R235" s="177">
        <v>0</v>
      </c>
      <c r="S235" s="178">
        <f>R235*G235</f>
        <v>0</v>
      </c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Q235" s="181" t="s">
        <v>197</v>
      </c>
      <c r="AS235" s="181" t="s">
        <v>193</v>
      </c>
      <c r="AT235" s="181" t="s">
        <v>136</v>
      </c>
      <c r="AX235" s="182" t="s">
        <v>129</v>
      </c>
      <c r="BD235" s="183">
        <f>IF(M235="základná",I235,0)</f>
        <v>0</v>
      </c>
      <c r="BE235" s="183">
        <f>IF(M235="znížená",I235,0)</f>
        <v>94.24</v>
      </c>
      <c r="BF235" s="183">
        <f>IF(M235="zákl. prenesená",I235,0)</f>
        <v>0</v>
      </c>
      <c r="BG235" s="183">
        <f>IF(M235="zníž. prenesená",I235,0)</f>
        <v>0</v>
      </c>
      <c r="BH235" s="183">
        <f>IF(M235="nulová",I235,0)</f>
        <v>0</v>
      </c>
      <c r="BI235" s="182" t="s">
        <v>136</v>
      </c>
      <c r="BJ235" s="183">
        <f>ROUND(H235*G235,2)</f>
        <v>94.24</v>
      </c>
      <c r="BK235" s="182" t="s">
        <v>135</v>
      </c>
      <c r="BL235" s="181" t="s">
        <v>399</v>
      </c>
    </row>
    <row r="236" spans="1:62" s="196" customFormat="1" ht="22.5" customHeight="1">
      <c r="A236" s="195"/>
      <c r="C236" s="197" t="s">
        <v>72</v>
      </c>
      <c r="D236" s="198" t="s">
        <v>400</v>
      </c>
      <c r="E236" s="198" t="s">
        <v>401</v>
      </c>
      <c r="I236" s="199">
        <f>SUBTOTAL(9,I237:I248)</f>
        <v>34176.59</v>
      </c>
      <c r="K236" s="195"/>
      <c r="L236" s="200"/>
      <c r="M236" s="201"/>
      <c r="N236" s="201"/>
      <c r="O236" s="202">
        <f>SUM(O237:O248)</f>
        <v>329.57477</v>
      </c>
      <c r="P236" s="201"/>
      <c r="Q236" s="202">
        <f>SUM(Q237:Q248)</f>
        <v>130.9114327</v>
      </c>
      <c r="R236" s="201"/>
      <c r="S236" s="203">
        <f>SUM(S237:S248)</f>
        <v>0</v>
      </c>
      <c r="AQ236" s="197" t="s">
        <v>80</v>
      </c>
      <c r="AS236" s="204" t="s">
        <v>72</v>
      </c>
      <c r="AT236" s="204" t="s">
        <v>80</v>
      </c>
      <c r="AX236" s="197" t="s">
        <v>129</v>
      </c>
      <c r="BJ236" s="205">
        <f>SUM(BJ237:BJ248)</f>
        <v>28891.59</v>
      </c>
    </row>
    <row r="237" spans="1:64" s="180" customFormat="1" ht="37.5" customHeight="1">
      <c r="A237" s="166"/>
      <c r="B237" s="167">
        <f>B235+1</f>
        <v>91</v>
      </c>
      <c r="C237" s="167" t="s">
        <v>131</v>
      </c>
      <c r="D237" s="168" t="s">
        <v>402</v>
      </c>
      <c r="E237" s="169" t="s">
        <v>403</v>
      </c>
      <c r="F237" s="170" t="s">
        <v>298</v>
      </c>
      <c r="G237" s="171">
        <v>890</v>
      </c>
      <c r="H237" s="172">
        <v>6.02</v>
      </c>
      <c r="I237" s="172">
        <f aca="true" t="shared" si="51" ref="I237:I248">ROUND(H237*G237,2)</f>
        <v>5357.8</v>
      </c>
      <c r="J237" s="173"/>
      <c r="K237" s="174"/>
      <c r="L237" s="175"/>
      <c r="M237" s="176" t="s">
        <v>39</v>
      </c>
      <c r="N237" s="177">
        <v>0.132</v>
      </c>
      <c r="O237" s="177">
        <f aca="true" t="shared" si="52" ref="O237:O244">N237*G237</f>
        <v>117.48</v>
      </c>
      <c r="P237" s="177">
        <v>0.09853</v>
      </c>
      <c r="Q237" s="177">
        <f aca="true" t="shared" si="53" ref="Q237:Q244">P237*G237</f>
        <v>87.69170000000001</v>
      </c>
      <c r="R237" s="177">
        <v>0</v>
      </c>
      <c r="S237" s="178">
        <f aca="true" t="shared" si="54" ref="S237:S244">R237*G237</f>
        <v>0</v>
      </c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179"/>
      <c r="AQ237" s="181" t="s">
        <v>135</v>
      </c>
      <c r="AS237" s="181" t="s">
        <v>131</v>
      </c>
      <c r="AT237" s="181" t="s">
        <v>136</v>
      </c>
      <c r="AX237" s="182" t="s">
        <v>129</v>
      </c>
      <c r="BD237" s="183">
        <f aca="true" t="shared" si="55" ref="BD237:BD244">IF(M237="základná",I237,0)</f>
        <v>0</v>
      </c>
      <c r="BE237" s="183">
        <f aca="true" t="shared" si="56" ref="BE237:BE244">IF(M237="znížená",I237,0)</f>
        <v>5357.8</v>
      </c>
      <c r="BF237" s="183">
        <f aca="true" t="shared" si="57" ref="BF237:BF244">IF(M237="zákl. prenesená",I237,0)</f>
        <v>0</v>
      </c>
      <c r="BG237" s="183">
        <f aca="true" t="shared" si="58" ref="BG237:BG244">IF(M237="zníž. prenesená",I237,0)</f>
        <v>0</v>
      </c>
      <c r="BH237" s="183">
        <f aca="true" t="shared" si="59" ref="BH237:BH244">IF(M237="nulová",I237,0)</f>
        <v>0</v>
      </c>
      <c r="BI237" s="182" t="s">
        <v>136</v>
      </c>
      <c r="BJ237" s="183">
        <f aca="true" t="shared" si="60" ref="BJ237:BJ244">ROUND(H237*G237,2)</f>
        <v>5357.8</v>
      </c>
      <c r="BK237" s="182" t="s">
        <v>135</v>
      </c>
      <c r="BL237" s="181" t="s">
        <v>404</v>
      </c>
    </row>
    <row r="238" spans="1:64" s="180" customFormat="1" ht="21.75" customHeight="1">
      <c r="A238" s="166"/>
      <c r="B238" s="185">
        <f aca="true" t="shared" si="61" ref="B238:B248">B237+1</f>
        <v>92</v>
      </c>
      <c r="C238" s="185" t="s">
        <v>193</v>
      </c>
      <c r="D238" s="186" t="s">
        <v>405</v>
      </c>
      <c r="E238" s="187" t="s">
        <v>406</v>
      </c>
      <c r="F238" s="188" t="s">
        <v>134</v>
      </c>
      <c r="G238" s="189">
        <f>G237</f>
        <v>890</v>
      </c>
      <c r="H238" s="190">
        <v>2.45</v>
      </c>
      <c r="I238" s="190">
        <f t="shared" si="51"/>
        <v>2180.5</v>
      </c>
      <c r="J238" s="191"/>
      <c r="K238" s="192"/>
      <c r="L238" s="193"/>
      <c r="M238" s="194" t="s">
        <v>39</v>
      </c>
      <c r="N238" s="177">
        <v>0</v>
      </c>
      <c r="O238" s="177">
        <f t="shared" si="52"/>
        <v>0</v>
      </c>
      <c r="P238" s="177">
        <v>0.023</v>
      </c>
      <c r="Q238" s="177">
        <f t="shared" si="53"/>
        <v>20.47</v>
      </c>
      <c r="R238" s="177">
        <v>0</v>
      </c>
      <c r="S238" s="178">
        <f t="shared" si="54"/>
        <v>0</v>
      </c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79"/>
      <c r="AQ238" s="181" t="s">
        <v>197</v>
      </c>
      <c r="AS238" s="181" t="s">
        <v>193</v>
      </c>
      <c r="AT238" s="181" t="s">
        <v>136</v>
      </c>
      <c r="AX238" s="182" t="s">
        <v>129</v>
      </c>
      <c r="BD238" s="183">
        <f t="shared" si="55"/>
        <v>0</v>
      </c>
      <c r="BE238" s="183">
        <f t="shared" si="56"/>
        <v>2180.5</v>
      </c>
      <c r="BF238" s="183">
        <f t="shared" si="57"/>
        <v>0</v>
      </c>
      <c r="BG238" s="183">
        <f t="shared" si="58"/>
        <v>0</v>
      </c>
      <c r="BH238" s="183">
        <f t="shared" si="59"/>
        <v>0</v>
      </c>
      <c r="BI238" s="182" t="s">
        <v>136</v>
      </c>
      <c r="BJ238" s="183">
        <f t="shared" si="60"/>
        <v>2180.5</v>
      </c>
      <c r="BK238" s="182" t="s">
        <v>135</v>
      </c>
      <c r="BL238" s="181" t="s">
        <v>407</v>
      </c>
    </row>
    <row r="239" spans="1:64" s="180" customFormat="1" ht="33" customHeight="1">
      <c r="A239" s="166"/>
      <c r="B239" s="227">
        <f t="shared" si="61"/>
        <v>93</v>
      </c>
      <c r="C239" s="167" t="s">
        <v>131</v>
      </c>
      <c r="D239" s="168" t="s">
        <v>408</v>
      </c>
      <c r="E239" s="169" t="s">
        <v>409</v>
      </c>
      <c r="F239" s="170" t="s">
        <v>182</v>
      </c>
      <c r="G239" s="171">
        <f>G238*0.011</f>
        <v>9.79</v>
      </c>
      <c r="H239" s="172">
        <v>108.46</v>
      </c>
      <c r="I239" s="172">
        <f t="shared" si="51"/>
        <v>1061.82</v>
      </c>
      <c r="J239" s="173"/>
      <c r="K239" s="174"/>
      <c r="L239" s="175"/>
      <c r="M239" s="176" t="s">
        <v>39</v>
      </c>
      <c r="N239" s="177">
        <v>1.363</v>
      </c>
      <c r="O239" s="177">
        <f t="shared" si="52"/>
        <v>13.34377</v>
      </c>
      <c r="P239" s="177">
        <v>2.21513</v>
      </c>
      <c r="Q239" s="177">
        <f t="shared" si="53"/>
        <v>21.686122699999995</v>
      </c>
      <c r="R239" s="177">
        <v>0</v>
      </c>
      <c r="S239" s="178">
        <f t="shared" si="54"/>
        <v>0</v>
      </c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Q239" s="181" t="s">
        <v>135</v>
      </c>
      <c r="AS239" s="181" t="s">
        <v>131</v>
      </c>
      <c r="AT239" s="181" t="s">
        <v>136</v>
      </c>
      <c r="AX239" s="182" t="s">
        <v>129</v>
      </c>
      <c r="BD239" s="183">
        <f t="shared" si="55"/>
        <v>0</v>
      </c>
      <c r="BE239" s="183">
        <f t="shared" si="56"/>
        <v>1061.82</v>
      </c>
      <c r="BF239" s="183">
        <f t="shared" si="57"/>
        <v>0</v>
      </c>
      <c r="BG239" s="183">
        <f t="shared" si="58"/>
        <v>0</v>
      </c>
      <c r="BH239" s="183">
        <f t="shared" si="59"/>
        <v>0</v>
      </c>
      <c r="BI239" s="182" t="s">
        <v>136</v>
      </c>
      <c r="BJ239" s="183">
        <f t="shared" si="60"/>
        <v>1061.82</v>
      </c>
      <c r="BK239" s="182" t="s">
        <v>135</v>
      </c>
      <c r="BL239" s="181" t="s">
        <v>410</v>
      </c>
    </row>
    <row r="240" spans="1:64" s="180" customFormat="1" ht="24" customHeight="1">
      <c r="A240" s="166"/>
      <c r="B240" s="227">
        <f t="shared" si="61"/>
        <v>94</v>
      </c>
      <c r="C240" s="167" t="s">
        <v>131</v>
      </c>
      <c r="D240" s="168" t="s">
        <v>411</v>
      </c>
      <c r="E240" s="169" t="s">
        <v>412</v>
      </c>
      <c r="F240" s="170" t="s">
        <v>134</v>
      </c>
      <c r="G240" s="171">
        <v>47</v>
      </c>
      <c r="H240" s="172">
        <v>28.73</v>
      </c>
      <c r="I240" s="172">
        <f t="shared" si="51"/>
        <v>1350.31</v>
      </c>
      <c r="J240" s="173"/>
      <c r="K240" s="174"/>
      <c r="L240" s="175"/>
      <c r="M240" s="176" t="s">
        <v>39</v>
      </c>
      <c r="N240" s="177">
        <v>1.238</v>
      </c>
      <c r="O240" s="177">
        <f t="shared" si="52"/>
        <v>58.186</v>
      </c>
      <c r="P240" s="177">
        <v>0.02263</v>
      </c>
      <c r="Q240" s="177">
        <f t="shared" si="53"/>
        <v>1.06361</v>
      </c>
      <c r="R240" s="177">
        <v>0</v>
      </c>
      <c r="S240" s="178">
        <f t="shared" si="54"/>
        <v>0</v>
      </c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Q240" s="181" t="s">
        <v>135</v>
      </c>
      <c r="AS240" s="181" t="s">
        <v>131</v>
      </c>
      <c r="AT240" s="181" t="s">
        <v>136</v>
      </c>
      <c r="AX240" s="182" t="s">
        <v>129</v>
      </c>
      <c r="BD240" s="183">
        <f t="shared" si="55"/>
        <v>0</v>
      </c>
      <c r="BE240" s="183">
        <f t="shared" si="56"/>
        <v>1350.31</v>
      </c>
      <c r="BF240" s="183">
        <f t="shared" si="57"/>
        <v>0</v>
      </c>
      <c r="BG240" s="183">
        <f t="shared" si="58"/>
        <v>0</v>
      </c>
      <c r="BH240" s="183">
        <f t="shared" si="59"/>
        <v>0</v>
      </c>
      <c r="BI240" s="182" t="s">
        <v>136</v>
      </c>
      <c r="BJ240" s="183">
        <f t="shared" si="60"/>
        <v>1350.31</v>
      </c>
      <c r="BK240" s="182" t="s">
        <v>135</v>
      </c>
      <c r="BL240" s="181" t="s">
        <v>413</v>
      </c>
    </row>
    <row r="241" spans="1:64" s="180" customFormat="1" ht="24" customHeight="1">
      <c r="A241" s="166"/>
      <c r="B241" s="227">
        <f t="shared" si="61"/>
        <v>95</v>
      </c>
      <c r="C241" s="167" t="s">
        <v>131</v>
      </c>
      <c r="D241" s="168" t="s">
        <v>414</v>
      </c>
      <c r="E241" s="169" t="s">
        <v>415</v>
      </c>
      <c r="F241" s="170" t="s">
        <v>134</v>
      </c>
      <c r="G241" s="171">
        <v>2</v>
      </c>
      <c r="H241" s="172">
        <v>96.03</v>
      </c>
      <c r="I241" s="172">
        <f t="shared" si="51"/>
        <v>192.06</v>
      </c>
      <c r="J241" s="173"/>
      <c r="K241" s="174"/>
      <c r="L241" s="175"/>
      <c r="M241" s="176" t="s">
        <v>39</v>
      </c>
      <c r="N241" s="177">
        <v>0</v>
      </c>
      <c r="O241" s="177">
        <f t="shared" si="52"/>
        <v>0</v>
      </c>
      <c r="P241" s="177">
        <v>0</v>
      </c>
      <c r="Q241" s="177">
        <f t="shared" si="53"/>
        <v>0</v>
      </c>
      <c r="R241" s="177">
        <v>0</v>
      </c>
      <c r="S241" s="178">
        <f t="shared" si="54"/>
        <v>0</v>
      </c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Q241" s="181" t="s">
        <v>135</v>
      </c>
      <c r="AS241" s="181" t="s">
        <v>131</v>
      </c>
      <c r="AT241" s="181" t="s">
        <v>136</v>
      </c>
      <c r="AX241" s="182" t="s">
        <v>129</v>
      </c>
      <c r="BD241" s="183">
        <f t="shared" si="55"/>
        <v>0</v>
      </c>
      <c r="BE241" s="183">
        <f t="shared" si="56"/>
        <v>192.06</v>
      </c>
      <c r="BF241" s="183">
        <f t="shared" si="57"/>
        <v>0</v>
      </c>
      <c r="BG241" s="183">
        <f t="shared" si="58"/>
        <v>0</v>
      </c>
      <c r="BH241" s="183">
        <f t="shared" si="59"/>
        <v>0</v>
      </c>
      <c r="BI241" s="182" t="s">
        <v>136</v>
      </c>
      <c r="BJ241" s="183">
        <f t="shared" si="60"/>
        <v>192.06</v>
      </c>
      <c r="BK241" s="182" t="s">
        <v>135</v>
      </c>
      <c r="BL241" s="181" t="s">
        <v>416</v>
      </c>
    </row>
    <row r="242" spans="1:64" s="180" customFormat="1" ht="24" customHeight="1">
      <c r="A242" s="166"/>
      <c r="B242" s="185">
        <f t="shared" si="61"/>
        <v>96</v>
      </c>
      <c r="C242" s="185" t="s">
        <v>193</v>
      </c>
      <c r="D242" s="186" t="s">
        <v>417</v>
      </c>
      <c r="E242" s="187" t="s">
        <v>418</v>
      </c>
      <c r="F242" s="188" t="s">
        <v>134</v>
      </c>
      <c r="G242" s="189">
        <v>2</v>
      </c>
      <c r="H242" s="190">
        <v>730.8</v>
      </c>
      <c r="I242" s="190">
        <f t="shared" si="51"/>
        <v>1461.6</v>
      </c>
      <c r="J242" s="191"/>
      <c r="K242" s="192"/>
      <c r="L242" s="193"/>
      <c r="M242" s="194" t="s">
        <v>39</v>
      </c>
      <c r="N242" s="177">
        <v>0</v>
      </c>
      <c r="O242" s="177">
        <f t="shared" si="52"/>
        <v>0</v>
      </c>
      <c r="P242" s="177">
        <v>0</v>
      </c>
      <c r="Q242" s="177">
        <f t="shared" si="53"/>
        <v>0</v>
      </c>
      <c r="R242" s="177">
        <v>0</v>
      </c>
      <c r="S242" s="178">
        <f t="shared" si="54"/>
        <v>0</v>
      </c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Q242" s="181" t="s">
        <v>197</v>
      </c>
      <c r="AS242" s="181" t="s">
        <v>193</v>
      </c>
      <c r="AT242" s="181" t="s">
        <v>136</v>
      </c>
      <c r="AX242" s="182" t="s">
        <v>129</v>
      </c>
      <c r="BD242" s="183">
        <f t="shared" si="55"/>
        <v>0</v>
      </c>
      <c r="BE242" s="183">
        <f t="shared" si="56"/>
        <v>1461.6</v>
      </c>
      <c r="BF242" s="183">
        <f t="shared" si="57"/>
        <v>0</v>
      </c>
      <c r="BG242" s="183">
        <f t="shared" si="58"/>
        <v>0</v>
      </c>
      <c r="BH242" s="183">
        <f t="shared" si="59"/>
        <v>0</v>
      </c>
      <c r="BI242" s="182" t="s">
        <v>136</v>
      </c>
      <c r="BJ242" s="183">
        <f t="shared" si="60"/>
        <v>1461.6</v>
      </c>
      <c r="BK242" s="182" t="s">
        <v>135</v>
      </c>
      <c r="BL242" s="181" t="s">
        <v>419</v>
      </c>
    </row>
    <row r="243" spans="1:64" s="180" customFormat="1" ht="24" customHeight="1">
      <c r="A243" s="166"/>
      <c r="B243" s="185">
        <f t="shared" si="61"/>
        <v>97</v>
      </c>
      <c r="C243" s="167" t="s">
        <v>131</v>
      </c>
      <c r="D243" s="168" t="s">
        <v>420</v>
      </c>
      <c r="E243" s="169" t="s">
        <v>421</v>
      </c>
      <c r="F243" s="170" t="s">
        <v>196</v>
      </c>
      <c r="G243" s="171">
        <v>360</v>
      </c>
      <c r="H243" s="172">
        <v>1.73</v>
      </c>
      <c r="I243" s="172">
        <f t="shared" si="51"/>
        <v>622.8</v>
      </c>
      <c r="J243" s="173"/>
      <c r="K243" s="174"/>
      <c r="L243" s="175"/>
      <c r="M243" s="176" t="s">
        <v>39</v>
      </c>
      <c r="N243" s="177">
        <v>0.031000000000000003</v>
      </c>
      <c r="O243" s="177">
        <f t="shared" si="52"/>
        <v>11.160000000000002</v>
      </c>
      <c r="P243" s="177">
        <v>0</v>
      </c>
      <c r="Q243" s="177">
        <f t="shared" si="53"/>
        <v>0</v>
      </c>
      <c r="R243" s="177">
        <v>0</v>
      </c>
      <c r="S243" s="178">
        <f t="shared" si="54"/>
        <v>0</v>
      </c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Q243" s="181" t="s">
        <v>135</v>
      </c>
      <c r="AS243" s="181" t="s">
        <v>131</v>
      </c>
      <c r="AT243" s="181" t="s">
        <v>136</v>
      </c>
      <c r="AX243" s="182" t="s">
        <v>129</v>
      </c>
      <c r="BD243" s="183">
        <f t="shared" si="55"/>
        <v>0</v>
      </c>
      <c r="BE243" s="183">
        <f t="shared" si="56"/>
        <v>622.8</v>
      </c>
      <c r="BF243" s="183">
        <f t="shared" si="57"/>
        <v>0</v>
      </c>
      <c r="BG243" s="183">
        <f t="shared" si="58"/>
        <v>0</v>
      </c>
      <c r="BH243" s="183">
        <f t="shared" si="59"/>
        <v>0</v>
      </c>
      <c r="BI243" s="182" t="s">
        <v>136</v>
      </c>
      <c r="BJ243" s="183">
        <f t="shared" si="60"/>
        <v>622.8</v>
      </c>
      <c r="BK243" s="182" t="s">
        <v>135</v>
      </c>
      <c r="BL243" s="181" t="s">
        <v>422</v>
      </c>
    </row>
    <row r="244" spans="1:64" s="180" customFormat="1" ht="21.75" customHeight="1">
      <c r="A244" s="166"/>
      <c r="B244" s="185">
        <f t="shared" si="61"/>
        <v>98</v>
      </c>
      <c r="C244" s="167" t="s">
        <v>131</v>
      </c>
      <c r="D244" s="168" t="s">
        <v>423</v>
      </c>
      <c r="E244" s="169" t="s">
        <v>424</v>
      </c>
      <c r="F244" s="170" t="s">
        <v>196</v>
      </c>
      <c r="G244" s="171">
        <f>G243*3</f>
        <v>1080</v>
      </c>
      <c r="H244" s="172">
        <v>0.34</v>
      </c>
      <c r="I244" s="172">
        <f t="shared" si="51"/>
        <v>367.2</v>
      </c>
      <c r="J244" s="173"/>
      <c r="K244" s="174"/>
      <c r="L244" s="175"/>
      <c r="M244" s="176" t="s">
        <v>39</v>
      </c>
      <c r="N244" s="177">
        <v>0.006</v>
      </c>
      <c r="O244" s="177">
        <f t="shared" si="52"/>
        <v>6.48</v>
      </c>
      <c r="P244" s="177">
        <v>0</v>
      </c>
      <c r="Q244" s="177">
        <f t="shared" si="53"/>
        <v>0</v>
      </c>
      <c r="R244" s="177">
        <v>0</v>
      </c>
      <c r="S244" s="178">
        <f t="shared" si="54"/>
        <v>0</v>
      </c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Q244" s="181" t="s">
        <v>135</v>
      </c>
      <c r="AS244" s="181" t="s">
        <v>131</v>
      </c>
      <c r="AT244" s="181" t="s">
        <v>136</v>
      </c>
      <c r="AX244" s="182" t="s">
        <v>129</v>
      </c>
      <c r="BD244" s="183">
        <f t="shared" si="55"/>
        <v>0</v>
      </c>
      <c r="BE244" s="183">
        <f t="shared" si="56"/>
        <v>367.2</v>
      </c>
      <c r="BF244" s="183">
        <f t="shared" si="57"/>
        <v>0</v>
      </c>
      <c r="BG244" s="183">
        <f t="shared" si="58"/>
        <v>0</v>
      </c>
      <c r="BH244" s="183">
        <f t="shared" si="59"/>
        <v>0</v>
      </c>
      <c r="BI244" s="182" t="s">
        <v>136</v>
      </c>
      <c r="BJ244" s="183">
        <f t="shared" si="60"/>
        <v>367.2</v>
      </c>
      <c r="BK244" s="182" t="s">
        <v>135</v>
      </c>
      <c r="BL244" s="181" t="s">
        <v>425</v>
      </c>
    </row>
    <row r="245" spans="1:64" s="180" customFormat="1" ht="42" customHeight="1">
      <c r="A245" s="166"/>
      <c r="B245" s="185">
        <f t="shared" si="61"/>
        <v>99</v>
      </c>
      <c r="C245" s="167"/>
      <c r="D245" s="168" t="s">
        <v>426</v>
      </c>
      <c r="E245" s="169" t="s">
        <v>427</v>
      </c>
      <c r="F245" s="170" t="s">
        <v>134</v>
      </c>
      <c r="G245" s="171">
        <v>35</v>
      </c>
      <c r="H245" s="172">
        <v>151</v>
      </c>
      <c r="I245" s="172">
        <f t="shared" si="51"/>
        <v>5285</v>
      </c>
      <c r="J245" s="173"/>
      <c r="K245" s="174"/>
      <c r="L245" s="175"/>
      <c r="M245" s="176"/>
      <c r="N245" s="177"/>
      <c r="O245" s="177"/>
      <c r="P245" s="177"/>
      <c r="Q245" s="177"/>
      <c r="R245" s="177"/>
      <c r="S245" s="178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Q245" s="181"/>
      <c r="AS245" s="181"/>
      <c r="AT245" s="181"/>
      <c r="AX245" s="182"/>
      <c r="BD245" s="183"/>
      <c r="BE245" s="183"/>
      <c r="BF245" s="183"/>
      <c r="BG245" s="183"/>
      <c r="BH245" s="183"/>
      <c r="BI245" s="182"/>
      <c r="BJ245" s="183"/>
      <c r="BK245" s="182"/>
      <c r="BL245" s="181"/>
    </row>
    <row r="246" spans="1:64" s="180" customFormat="1" ht="24" customHeight="1">
      <c r="A246" s="166"/>
      <c r="B246" s="185">
        <f t="shared" si="61"/>
        <v>100</v>
      </c>
      <c r="C246" s="167" t="s">
        <v>131</v>
      </c>
      <c r="D246" s="168" t="s">
        <v>428</v>
      </c>
      <c r="E246" s="169" t="s">
        <v>429</v>
      </c>
      <c r="F246" s="170" t="s">
        <v>196</v>
      </c>
      <c r="G246" s="171">
        <v>825</v>
      </c>
      <c r="H246" s="172">
        <v>4.86</v>
      </c>
      <c r="I246" s="172">
        <f t="shared" si="51"/>
        <v>4009.5</v>
      </c>
      <c r="J246" s="173"/>
      <c r="K246" s="174"/>
      <c r="L246" s="175"/>
      <c r="M246" s="176" t="s">
        <v>39</v>
      </c>
      <c r="N246" s="177">
        <v>0.14900000000000002</v>
      </c>
      <c r="O246" s="177">
        <f>N246*G246</f>
        <v>122.92500000000001</v>
      </c>
      <c r="P246" s="177">
        <v>0</v>
      </c>
      <c r="Q246" s="177">
        <f>P246*G246</f>
        <v>0</v>
      </c>
      <c r="R246" s="177">
        <v>0</v>
      </c>
      <c r="S246" s="178">
        <f>R246*G246</f>
        <v>0</v>
      </c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Q246" s="181" t="s">
        <v>135</v>
      </c>
      <c r="AS246" s="181" t="s">
        <v>131</v>
      </c>
      <c r="AT246" s="181" t="s">
        <v>136</v>
      </c>
      <c r="AX246" s="182" t="s">
        <v>129</v>
      </c>
      <c r="BD246" s="183">
        <f>IF(M246="základná",I246,0)</f>
        <v>0</v>
      </c>
      <c r="BE246" s="183">
        <f>IF(M246="znížená",I246,0)</f>
        <v>4009.5</v>
      </c>
      <c r="BF246" s="183">
        <f>IF(M246="zákl. prenesená",I246,0)</f>
        <v>0</v>
      </c>
      <c r="BG246" s="183">
        <f>IF(M246="zníž. prenesená",I246,0)</f>
        <v>0</v>
      </c>
      <c r="BH246" s="183">
        <f>IF(M246="nulová",I246,0)</f>
        <v>0</v>
      </c>
      <c r="BI246" s="182" t="s">
        <v>136</v>
      </c>
      <c r="BJ246" s="183">
        <f>ROUND(H246*G246,2)</f>
        <v>4009.5</v>
      </c>
      <c r="BK246" s="182" t="s">
        <v>135</v>
      </c>
      <c r="BL246" s="181" t="s">
        <v>430</v>
      </c>
    </row>
    <row r="247" spans="1:64" s="180" customFormat="1" ht="16.5" customHeight="1">
      <c r="A247" s="166"/>
      <c r="B247" s="185">
        <f t="shared" si="61"/>
        <v>101</v>
      </c>
      <c r="C247" s="167" t="s">
        <v>131</v>
      </c>
      <c r="D247" s="168" t="s">
        <v>431</v>
      </c>
      <c r="E247" s="169" t="s">
        <v>432</v>
      </c>
      <c r="F247" s="170" t="s">
        <v>196</v>
      </c>
      <c r="G247" s="171">
        <v>300</v>
      </c>
      <c r="H247" s="172">
        <v>32</v>
      </c>
      <c r="I247" s="172">
        <f t="shared" si="51"/>
        <v>9600</v>
      </c>
      <c r="J247" s="173"/>
      <c r="K247" s="174"/>
      <c r="L247" s="175"/>
      <c r="M247" s="176" t="s">
        <v>39</v>
      </c>
      <c r="N247" s="177">
        <v>0</v>
      </c>
      <c r="O247" s="177">
        <f>N247*G247</f>
        <v>0</v>
      </c>
      <c r="P247" s="177">
        <v>0</v>
      </c>
      <c r="Q247" s="177">
        <f>P247*G247</f>
        <v>0</v>
      </c>
      <c r="R247" s="177">
        <v>0</v>
      </c>
      <c r="S247" s="178">
        <f>R247*G247</f>
        <v>0</v>
      </c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Q247" s="181" t="s">
        <v>135</v>
      </c>
      <c r="AS247" s="181" t="s">
        <v>131</v>
      </c>
      <c r="AT247" s="181" t="s">
        <v>136</v>
      </c>
      <c r="AX247" s="182" t="s">
        <v>129</v>
      </c>
      <c r="BD247" s="183">
        <f>IF(M247="základná",I247,0)</f>
        <v>0</v>
      </c>
      <c r="BE247" s="183">
        <f>IF(M247="znížená",I247,0)</f>
        <v>9600</v>
      </c>
      <c r="BF247" s="183">
        <f>IF(M247="zákl. prenesená",I247,0)</f>
        <v>0</v>
      </c>
      <c r="BG247" s="183">
        <f>IF(M247="zníž. prenesená",I247,0)</f>
        <v>0</v>
      </c>
      <c r="BH247" s="183">
        <f>IF(M247="nulová",I247,0)</f>
        <v>0</v>
      </c>
      <c r="BI247" s="182" t="s">
        <v>136</v>
      </c>
      <c r="BJ247" s="183">
        <f>ROUND(H247*G247,2)</f>
        <v>9600</v>
      </c>
      <c r="BK247" s="182" t="s">
        <v>135</v>
      </c>
      <c r="BL247" s="181" t="s">
        <v>433</v>
      </c>
    </row>
    <row r="248" spans="1:64" s="180" customFormat="1" ht="24" customHeight="1">
      <c r="A248" s="166"/>
      <c r="B248" s="185">
        <f t="shared" si="61"/>
        <v>102</v>
      </c>
      <c r="C248" s="167" t="s">
        <v>131</v>
      </c>
      <c r="D248" s="168" t="s">
        <v>434</v>
      </c>
      <c r="E248" s="169" t="s">
        <v>435</v>
      </c>
      <c r="F248" s="170" t="s">
        <v>196</v>
      </c>
      <c r="G248" s="171">
        <v>56</v>
      </c>
      <c r="H248" s="172">
        <v>48</v>
      </c>
      <c r="I248" s="172">
        <f t="shared" si="51"/>
        <v>2688</v>
      </c>
      <c r="J248" s="173"/>
      <c r="K248" s="174"/>
      <c r="L248" s="175"/>
      <c r="M248" s="176" t="s">
        <v>39</v>
      </c>
      <c r="N248" s="177">
        <v>0</v>
      </c>
      <c r="O248" s="177">
        <f>N248*G248</f>
        <v>0</v>
      </c>
      <c r="P248" s="177">
        <v>0</v>
      </c>
      <c r="Q248" s="177">
        <f>P248*G248</f>
        <v>0</v>
      </c>
      <c r="R248" s="177">
        <v>0</v>
      </c>
      <c r="S248" s="178">
        <f>R248*G248</f>
        <v>0</v>
      </c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Q248" s="181" t="s">
        <v>135</v>
      </c>
      <c r="AS248" s="181" t="s">
        <v>131</v>
      </c>
      <c r="AT248" s="181" t="s">
        <v>136</v>
      </c>
      <c r="AX248" s="182" t="s">
        <v>129</v>
      </c>
      <c r="BD248" s="183">
        <f>IF(M248="základná",I248,0)</f>
        <v>0</v>
      </c>
      <c r="BE248" s="183">
        <f>IF(M248="znížená",I248,0)</f>
        <v>2688</v>
      </c>
      <c r="BF248" s="183">
        <f>IF(M248="zákl. prenesená",I248,0)</f>
        <v>0</v>
      </c>
      <c r="BG248" s="183">
        <f>IF(M248="zníž. prenesená",I248,0)</f>
        <v>0</v>
      </c>
      <c r="BH248" s="183">
        <f>IF(M248="nulová",I248,0)</f>
        <v>0</v>
      </c>
      <c r="BI248" s="182" t="s">
        <v>136</v>
      </c>
      <c r="BJ248" s="183">
        <f>ROUND(H248*G248,2)</f>
        <v>2688</v>
      </c>
      <c r="BK248" s="182" t="s">
        <v>135</v>
      </c>
      <c r="BL248" s="181" t="s">
        <v>436</v>
      </c>
    </row>
    <row r="249" spans="1:62" s="156" customFormat="1" ht="22.5" customHeight="1">
      <c r="A249" s="155"/>
      <c r="C249" s="157" t="s">
        <v>72</v>
      </c>
      <c r="D249" s="158" t="s">
        <v>437</v>
      </c>
      <c r="E249" s="158" t="s">
        <v>438</v>
      </c>
      <c r="I249" s="159">
        <f>BJ249</f>
        <v>34576.81</v>
      </c>
      <c r="K249" s="155"/>
      <c r="L249" s="160"/>
      <c r="M249" s="161"/>
      <c r="N249" s="161"/>
      <c r="O249" s="162">
        <f>O250</f>
        <v>1706.229756</v>
      </c>
      <c r="P249" s="161"/>
      <c r="Q249" s="162">
        <f>Q250</f>
        <v>0</v>
      </c>
      <c r="R249" s="161"/>
      <c r="S249" s="163">
        <f>S250</f>
        <v>0</v>
      </c>
      <c r="AQ249" s="157" t="s">
        <v>80</v>
      </c>
      <c r="AS249" s="164" t="s">
        <v>72</v>
      </c>
      <c r="AT249" s="164" t="s">
        <v>80</v>
      </c>
      <c r="AX249" s="157" t="s">
        <v>129</v>
      </c>
      <c r="BJ249" s="165">
        <f>BJ250</f>
        <v>34576.81</v>
      </c>
    </row>
    <row r="250" spans="1:64" s="25" customFormat="1" ht="33" customHeight="1">
      <c r="A250" s="228"/>
      <c r="B250" s="229">
        <f>B248+1</f>
        <v>103</v>
      </c>
      <c r="C250" s="229" t="s">
        <v>131</v>
      </c>
      <c r="D250" s="230" t="s">
        <v>439</v>
      </c>
      <c r="E250" s="231" t="s">
        <v>440</v>
      </c>
      <c r="F250" s="232" t="s">
        <v>196</v>
      </c>
      <c r="G250" s="233">
        <v>869.638</v>
      </c>
      <c r="H250" s="234">
        <v>39.76</v>
      </c>
      <c r="I250" s="234">
        <f>ROUND(H250*G250,2)</f>
        <v>34576.81</v>
      </c>
      <c r="J250" s="235"/>
      <c r="K250" s="24"/>
      <c r="L250" s="236"/>
      <c r="M250" s="237" t="s">
        <v>39</v>
      </c>
      <c r="N250" s="238">
        <v>1.962</v>
      </c>
      <c r="O250" s="238">
        <f>N250*G250</f>
        <v>1706.229756</v>
      </c>
      <c r="P250" s="238">
        <v>0</v>
      </c>
      <c r="Q250" s="238">
        <f>P250*G250</f>
        <v>0</v>
      </c>
      <c r="R250" s="238">
        <v>0</v>
      </c>
      <c r="S250" s="239">
        <f>R250*G250</f>
        <v>0</v>
      </c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Q250" s="240" t="s">
        <v>135</v>
      </c>
      <c r="AS250" s="240" t="s">
        <v>131</v>
      </c>
      <c r="AT250" s="240" t="s">
        <v>136</v>
      </c>
      <c r="AX250" s="3" t="s">
        <v>129</v>
      </c>
      <c r="BD250" s="241">
        <f>IF(M250="základná",I250,0)</f>
        <v>0</v>
      </c>
      <c r="BE250" s="241">
        <f>IF(M250="znížená",I250,0)</f>
        <v>34576.81</v>
      </c>
      <c r="BF250" s="241">
        <f>IF(M250="zákl. prenesená",I250,0)</f>
        <v>0</v>
      </c>
      <c r="BG250" s="241">
        <f>IF(M250="zníž. prenesená",I250,0)</f>
        <v>0</v>
      </c>
      <c r="BH250" s="241">
        <f>IF(M250="nulová",I250,0)</f>
        <v>0</v>
      </c>
      <c r="BI250" s="3" t="s">
        <v>136</v>
      </c>
      <c r="BJ250" s="241">
        <f>ROUND(H250*G250,2)</f>
        <v>34576.81</v>
      </c>
      <c r="BK250" s="3" t="s">
        <v>135</v>
      </c>
      <c r="BL250" s="240" t="s">
        <v>441</v>
      </c>
    </row>
    <row r="251" spans="1:62" s="145" customFormat="1" ht="25.5" customHeight="1">
      <c r="A251" s="144"/>
      <c r="C251" s="146" t="s">
        <v>72</v>
      </c>
      <c r="D251" s="147" t="s">
        <v>442</v>
      </c>
      <c r="E251" s="147" t="s">
        <v>443</v>
      </c>
      <c r="I251" s="148">
        <f>BJ251</f>
        <v>38702.409999999996</v>
      </c>
      <c r="K251" s="144"/>
      <c r="L251" s="149"/>
      <c r="M251" s="150"/>
      <c r="N251" s="150"/>
      <c r="O251" s="151">
        <f>O252</f>
        <v>5.439</v>
      </c>
      <c r="P251" s="150"/>
      <c r="Q251" s="151">
        <f>Q252</f>
        <v>0</v>
      </c>
      <c r="R251" s="150"/>
      <c r="S251" s="152">
        <f>S252</f>
        <v>0</v>
      </c>
      <c r="AQ251" s="146" t="s">
        <v>136</v>
      </c>
      <c r="AS251" s="153" t="s">
        <v>72</v>
      </c>
      <c r="AT251" s="153" t="s">
        <v>73</v>
      </c>
      <c r="AX251" s="146" t="s">
        <v>129</v>
      </c>
      <c r="BJ251" s="154">
        <f>BJ252</f>
        <v>38702.409999999996</v>
      </c>
    </row>
    <row r="252" spans="1:62" s="156" customFormat="1" ht="22.5" customHeight="1">
      <c r="A252" s="155"/>
      <c r="C252" s="157" t="s">
        <v>72</v>
      </c>
      <c r="D252" s="158" t="s">
        <v>444</v>
      </c>
      <c r="E252" s="158" t="s">
        <v>445</v>
      </c>
      <c r="I252" s="159">
        <f>SUBTOTAL(9,I253:I258)</f>
        <v>39152.409999999996</v>
      </c>
      <c r="K252" s="155"/>
      <c r="L252" s="160"/>
      <c r="M252" s="161"/>
      <c r="N252" s="161"/>
      <c r="O252" s="162">
        <f>SUM(O253:O258)</f>
        <v>5.439</v>
      </c>
      <c r="P252" s="161"/>
      <c r="Q252" s="162">
        <f>SUM(Q253:Q258)</f>
        <v>0</v>
      </c>
      <c r="R252" s="161"/>
      <c r="S252" s="163">
        <f>SUM(S253:S258)</f>
        <v>0</v>
      </c>
      <c r="AQ252" s="157" t="s">
        <v>136</v>
      </c>
      <c r="AS252" s="164" t="s">
        <v>72</v>
      </c>
      <c r="AT252" s="164" t="s">
        <v>80</v>
      </c>
      <c r="AX252" s="157" t="s">
        <v>129</v>
      </c>
      <c r="BJ252" s="165">
        <f>SUM(BJ253:BJ258)</f>
        <v>38702.409999999996</v>
      </c>
    </row>
    <row r="253" spans="1:64" s="180" customFormat="1" ht="48.75" customHeight="1">
      <c r="A253" s="166"/>
      <c r="B253" s="167">
        <f>B250+1</f>
        <v>104</v>
      </c>
      <c r="C253" s="167" t="s">
        <v>131</v>
      </c>
      <c r="D253" s="168" t="s">
        <v>446</v>
      </c>
      <c r="E253" s="169" t="s">
        <v>447</v>
      </c>
      <c r="F253" s="170" t="s">
        <v>134</v>
      </c>
      <c r="G253" s="171">
        <v>33</v>
      </c>
      <c r="H253" s="172">
        <v>639.45</v>
      </c>
      <c r="I253" s="172">
        <f aca="true" t="shared" si="62" ref="I253:I258">ROUND(H253*G253,2)</f>
        <v>21101.85</v>
      </c>
      <c r="J253" s="173"/>
      <c r="K253" s="174"/>
      <c r="L253" s="175"/>
      <c r="M253" s="176" t="s">
        <v>39</v>
      </c>
      <c r="N253" s="177">
        <v>0.111</v>
      </c>
      <c r="O253" s="177">
        <f>N253*G253</f>
        <v>3.6630000000000003</v>
      </c>
      <c r="P253" s="177">
        <v>0</v>
      </c>
      <c r="Q253" s="177">
        <f>P253*G253</f>
        <v>0</v>
      </c>
      <c r="R253" s="177">
        <v>0</v>
      </c>
      <c r="S253" s="178">
        <f>R253*G253</f>
        <v>0</v>
      </c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179"/>
      <c r="AQ253" s="181" t="s">
        <v>448</v>
      </c>
      <c r="AS253" s="181" t="s">
        <v>131</v>
      </c>
      <c r="AT253" s="181" t="s">
        <v>136</v>
      </c>
      <c r="AX253" s="182" t="s">
        <v>129</v>
      </c>
      <c r="BD253" s="183">
        <f>IF(M253="základná",I253,0)</f>
        <v>0</v>
      </c>
      <c r="BE253" s="183">
        <f>IF(M253="znížená",I253,0)</f>
        <v>21101.85</v>
      </c>
      <c r="BF253" s="183">
        <f>IF(M253="zákl. prenesená",I253,0)</f>
        <v>0</v>
      </c>
      <c r="BG253" s="183">
        <f>IF(M253="zníž. prenesená",I253,0)</f>
        <v>0</v>
      </c>
      <c r="BH253" s="183">
        <f>IF(M253="nulová",I253,0)</f>
        <v>0</v>
      </c>
      <c r="BI253" s="182" t="s">
        <v>136</v>
      </c>
      <c r="BJ253" s="183">
        <f>ROUND(H253*G253,2)</f>
        <v>21101.85</v>
      </c>
      <c r="BK253" s="182" t="s">
        <v>448</v>
      </c>
      <c r="BL253" s="181" t="s">
        <v>449</v>
      </c>
    </row>
    <row r="254" spans="1:64" s="180" customFormat="1" ht="44.25" customHeight="1">
      <c r="A254" s="166"/>
      <c r="B254" s="167">
        <f>B253+1</f>
        <v>105</v>
      </c>
      <c r="C254" s="167" t="s">
        <v>131</v>
      </c>
      <c r="D254" s="168" t="s">
        <v>450</v>
      </c>
      <c r="E254" s="169" t="s">
        <v>451</v>
      </c>
      <c r="F254" s="170" t="s">
        <v>134</v>
      </c>
      <c r="G254" s="171">
        <v>4</v>
      </c>
      <c r="H254" s="172">
        <v>1841.7</v>
      </c>
      <c r="I254" s="172">
        <f t="shared" si="62"/>
        <v>7366.8</v>
      </c>
      <c r="J254" s="173"/>
      <c r="K254" s="174"/>
      <c r="L254" s="175"/>
      <c r="M254" s="176" t="s">
        <v>39</v>
      </c>
      <c r="N254" s="177">
        <v>0.111</v>
      </c>
      <c r="O254" s="177">
        <f>N254*G254</f>
        <v>0.444</v>
      </c>
      <c r="P254" s="177">
        <v>0</v>
      </c>
      <c r="Q254" s="177">
        <f>P254*G254</f>
        <v>0</v>
      </c>
      <c r="R254" s="177">
        <v>0</v>
      </c>
      <c r="S254" s="178">
        <f>R254*G254</f>
        <v>0</v>
      </c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79"/>
      <c r="AQ254" s="181" t="s">
        <v>448</v>
      </c>
      <c r="AS254" s="181" t="s">
        <v>131</v>
      </c>
      <c r="AT254" s="181" t="s">
        <v>136</v>
      </c>
      <c r="AX254" s="182" t="s">
        <v>129</v>
      </c>
      <c r="BD254" s="183">
        <f>IF(M254="základná",I254,0)</f>
        <v>0</v>
      </c>
      <c r="BE254" s="183">
        <f>IF(M254="znížená",I254,0)</f>
        <v>7366.8</v>
      </c>
      <c r="BF254" s="183">
        <f>IF(M254="zákl. prenesená",I254,0)</f>
        <v>0</v>
      </c>
      <c r="BG254" s="183">
        <f>IF(M254="zníž. prenesená",I254,0)</f>
        <v>0</v>
      </c>
      <c r="BH254" s="183">
        <f>IF(M254="nulová",I254,0)</f>
        <v>0</v>
      </c>
      <c r="BI254" s="182" t="s">
        <v>136</v>
      </c>
      <c r="BJ254" s="183">
        <f>ROUND(H254*G254,2)</f>
        <v>7366.8</v>
      </c>
      <c r="BK254" s="182" t="s">
        <v>448</v>
      </c>
      <c r="BL254" s="181" t="s">
        <v>452</v>
      </c>
    </row>
    <row r="255" spans="1:64" s="180" customFormat="1" ht="48.75" customHeight="1">
      <c r="A255" s="166"/>
      <c r="B255" s="167">
        <f>B254+1</f>
        <v>106</v>
      </c>
      <c r="C255" s="167" t="s">
        <v>131</v>
      </c>
      <c r="D255" s="168" t="s">
        <v>453</v>
      </c>
      <c r="E255" s="169" t="s">
        <v>454</v>
      </c>
      <c r="F255" s="170" t="s">
        <v>134</v>
      </c>
      <c r="G255" s="171">
        <v>4</v>
      </c>
      <c r="H255" s="172">
        <v>793.44</v>
      </c>
      <c r="I255" s="172">
        <f t="shared" si="62"/>
        <v>3173.76</v>
      </c>
      <c r="J255" s="173"/>
      <c r="K255" s="174"/>
      <c r="L255" s="175"/>
      <c r="M255" s="176" t="s">
        <v>39</v>
      </c>
      <c r="N255" s="177">
        <v>0.111</v>
      </c>
      <c r="O255" s="177">
        <f>N255*G255</f>
        <v>0.444</v>
      </c>
      <c r="P255" s="177">
        <v>0</v>
      </c>
      <c r="Q255" s="177">
        <f>P255*G255</f>
        <v>0</v>
      </c>
      <c r="R255" s="177">
        <v>0</v>
      </c>
      <c r="S255" s="178">
        <f>R255*G255</f>
        <v>0</v>
      </c>
      <c r="T255" s="179"/>
      <c r="U255" s="179"/>
      <c r="V255" s="179"/>
      <c r="W255" s="179"/>
      <c r="X255" s="179"/>
      <c r="Y255" s="179"/>
      <c r="Z255" s="179"/>
      <c r="AA255" s="179"/>
      <c r="AB255" s="179"/>
      <c r="AC255" s="179"/>
      <c r="AD255" s="179"/>
      <c r="AQ255" s="181" t="s">
        <v>448</v>
      </c>
      <c r="AS255" s="181" t="s">
        <v>131</v>
      </c>
      <c r="AT255" s="181" t="s">
        <v>136</v>
      </c>
      <c r="AX255" s="182" t="s">
        <v>129</v>
      </c>
      <c r="BD255" s="183">
        <f>IF(M255="základná",I255,0)</f>
        <v>0</v>
      </c>
      <c r="BE255" s="183">
        <f>IF(M255="znížená",I255,0)</f>
        <v>3173.76</v>
      </c>
      <c r="BF255" s="183">
        <f>IF(M255="zákl. prenesená",I255,0)</f>
        <v>0</v>
      </c>
      <c r="BG255" s="183">
        <f>IF(M255="zníž. prenesená",I255,0)</f>
        <v>0</v>
      </c>
      <c r="BH255" s="183">
        <f>IF(M255="nulová",I255,0)</f>
        <v>0</v>
      </c>
      <c r="BI255" s="182" t="s">
        <v>136</v>
      </c>
      <c r="BJ255" s="183">
        <f>ROUND(H255*G255,2)</f>
        <v>3173.76</v>
      </c>
      <c r="BK255" s="182" t="s">
        <v>448</v>
      </c>
      <c r="BL255" s="181" t="s">
        <v>455</v>
      </c>
    </row>
    <row r="256" spans="1:64" s="180" customFormat="1" ht="37.5" customHeight="1">
      <c r="A256" s="166"/>
      <c r="B256" s="167">
        <f>B255+1</f>
        <v>107</v>
      </c>
      <c r="C256" s="167" t="s">
        <v>131</v>
      </c>
      <c r="D256" s="168" t="s">
        <v>456</v>
      </c>
      <c r="E256" s="169" t="s">
        <v>457</v>
      </c>
      <c r="F256" s="170" t="s">
        <v>134</v>
      </c>
      <c r="G256" s="171">
        <v>3</v>
      </c>
      <c r="H256" s="172">
        <v>1670</v>
      </c>
      <c r="I256" s="172">
        <f t="shared" si="62"/>
        <v>5010</v>
      </c>
      <c r="J256" s="173"/>
      <c r="K256" s="174"/>
      <c r="L256" s="175"/>
      <c r="M256" s="176" t="s">
        <v>39</v>
      </c>
      <c r="N256" s="177">
        <v>0.111</v>
      </c>
      <c r="O256" s="177">
        <f>N256*G256</f>
        <v>0.333</v>
      </c>
      <c r="P256" s="177">
        <v>0</v>
      </c>
      <c r="Q256" s="177">
        <f>P256*G256</f>
        <v>0</v>
      </c>
      <c r="R256" s="177">
        <v>0</v>
      </c>
      <c r="S256" s="178">
        <f>R256*G256</f>
        <v>0</v>
      </c>
      <c r="T256" s="179"/>
      <c r="U256" s="179"/>
      <c r="V256" s="179"/>
      <c r="W256" s="179"/>
      <c r="X256" s="179"/>
      <c r="Y256" s="179"/>
      <c r="Z256" s="179"/>
      <c r="AA256" s="179"/>
      <c r="AB256" s="179"/>
      <c r="AC256" s="179"/>
      <c r="AD256" s="179"/>
      <c r="AQ256" s="181" t="s">
        <v>448</v>
      </c>
      <c r="AS256" s="181" t="s">
        <v>131</v>
      </c>
      <c r="AT256" s="181" t="s">
        <v>136</v>
      </c>
      <c r="AX256" s="182" t="s">
        <v>129</v>
      </c>
      <c r="BD256" s="183">
        <f>IF(M256="základná",I256,0)</f>
        <v>0</v>
      </c>
      <c r="BE256" s="183">
        <f>IF(M256="znížená",I256,0)</f>
        <v>5010</v>
      </c>
      <c r="BF256" s="183">
        <f>IF(M256="zákl. prenesená",I256,0)</f>
        <v>0</v>
      </c>
      <c r="BG256" s="183">
        <f>IF(M256="zníž. prenesená",I256,0)</f>
        <v>0</v>
      </c>
      <c r="BH256" s="183">
        <f>IF(M256="nulová",I256,0)</f>
        <v>0</v>
      </c>
      <c r="BI256" s="182" t="s">
        <v>136</v>
      </c>
      <c r="BJ256" s="183">
        <f>ROUND(H256*G256,2)</f>
        <v>5010</v>
      </c>
      <c r="BK256" s="182" t="s">
        <v>448</v>
      </c>
      <c r="BL256" s="181" t="s">
        <v>458</v>
      </c>
    </row>
    <row r="257" spans="1:64" s="180" customFormat="1" ht="33" customHeight="1">
      <c r="A257" s="166"/>
      <c r="B257" s="167">
        <f>B256+1</f>
        <v>108</v>
      </c>
      <c r="C257" s="167" t="s">
        <v>131</v>
      </c>
      <c r="D257" s="168" t="s">
        <v>459</v>
      </c>
      <c r="E257" s="169" t="s">
        <v>460</v>
      </c>
      <c r="F257" s="170" t="s">
        <v>134</v>
      </c>
      <c r="G257" s="171">
        <v>5</v>
      </c>
      <c r="H257" s="172">
        <v>410</v>
      </c>
      <c r="I257" s="172">
        <f t="shared" si="62"/>
        <v>2050</v>
      </c>
      <c r="J257" s="173"/>
      <c r="K257" s="174"/>
      <c r="L257" s="175"/>
      <c r="M257" s="176" t="s">
        <v>39</v>
      </c>
      <c r="N257" s="177">
        <v>0.111</v>
      </c>
      <c r="O257" s="177">
        <f>N257*G257</f>
        <v>0.555</v>
      </c>
      <c r="P257" s="177">
        <v>0</v>
      </c>
      <c r="Q257" s="177">
        <f>P257*G257</f>
        <v>0</v>
      </c>
      <c r="R257" s="177">
        <v>0</v>
      </c>
      <c r="S257" s="178">
        <f>R257*G257</f>
        <v>0</v>
      </c>
      <c r="T257" s="179"/>
      <c r="U257" s="179"/>
      <c r="V257" s="179"/>
      <c r="W257" s="179"/>
      <c r="X257" s="179"/>
      <c r="Y257" s="179"/>
      <c r="Z257" s="179"/>
      <c r="AA257" s="179"/>
      <c r="AB257" s="179"/>
      <c r="AC257" s="179"/>
      <c r="AD257" s="179"/>
      <c r="AQ257" s="181" t="s">
        <v>448</v>
      </c>
      <c r="AS257" s="181" t="s">
        <v>131</v>
      </c>
      <c r="AT257" s="181" t="s">
        <v>136</v>
      </c>
      <c r="AX257" s="182" t="s">
        <v>129</v>
      </c>
      <c r="BD257" s="183">
        <f>IF(M257="základná",I257,0)</f>
        <v>0</v>
      </c>
      <c r="BE257" s="183">
        <f>IF(M257="znížená",I257,0)</f>
        <v>2050</v>
      </c>
      <c r="BF257" s="183">
        <f>IF(M257="zákl. prenesená",I257,0)</f>
        <v>0</v>
      </c>
      <c r="BG257" s="183">
        <f>IF(M257="zníž. prenesená",I257,0)</f>
        <v>0</v>
      </c>
      <c r="BH257" s="183">
        <f>IF(M257="nulová",I257,0)</f>
        <v>0</v>
      </c>
      <c r="BI257" s="182" t="s">
        <v>136</v>
      </c>
      <c r="BJ257" s="183">
        <f>ROUND(H257*G257,2)</f>
        <v>2050</v>
      </c>
      <c r="BK257" s="182" t="s">
        <v>448</v>
      </c>
      <c r="BL257" s="181" t="s">
        <v>461</v>
      </c>
    </row>
    <row r="258" spans="1:64" s="180" customFormat="1" ht="24" customHeight="1">
      <c r="A258" s="166"/>
      <c r="B258" s="167">
        <f>B257+1</f>
        <v>109</v>
      </c>
      <c r="C258" s="167" t="s">
        <v>131</v>
      </c>
      <c r="D258" s="168" t="s">
        <v>462</v>
      </c>
      <c r="E258" s="169" t="s">
        <v>463</v>
      </c>
      <c r="F258" s="170" t="s">
        <v>464</v>
      </c>
      <c r="G258" s="171">
        <v>500</v>
      </c>
      <c r="H258" s="172">
        <v>0.9</v>
      </c>
      <c r="I258" s="172">
        <f t="shared" si="62"/>
        <v>450</v>
      </c>
      <c r="J258" s="173"/>
      <c r="K258" s="174"/>
      <c r="L258" s="175"/>
      <c r="M258" s="176"/>
      <c r="N258" s="177"/>
      <c r="O258" s="177"/>
      <c r="P258" s="177"/>
      <c r="Q258" s="177"/>
      <c r="R258" s="177"/>
      <c r="S258" s="178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Q258" s="181"/>
      <c r="AS258" s="181"/>
      <c r="AT258" s="181"/>
      <c r="AX258" s="182"/>
      <c r="BD258" s="183"/>
      <c r="BE258" s="183"/>
      <c r="BF258" s="183"/>
      <c r="BG258" s="183"/>
      <c r="BH258" s="183"/>
      <c r="BI258" s="182"/>
      <c r="BJ258" s="183"/>
      <c r="BK258" s="182"/>
      <c r="BL258" s="181"/>
    </row>
    <row r="259" spans="1:255" s="156" customFormat="1" ht="24" customHeight="1">
      <c r="A259" s="157"/>
      <c r="B259"/>
      <c r="C259" s="158" t="s">
        <v>72</v>
      </c>
      <c r="D259" s="157">
        <v>800</v>
      </c>
      <c r="E259" s="158" t="s">
        <v>465</v>
      </c>
      <c r="G259" s="159"/>
      <c r="I259" s="159">
        <f>SUBTOTAL(9,I260:I267)</f>
        <v>10647.640000000001</v>
      </c>
      <c r="J259" s="158" t="s">
        <v>444</v>
      </c>
      <c r="K259" s="158"/>
      <c r="O259" s="159"/>
      <c r="Q259" s="157"/>
      <c r="R259" s="158"/>
      <c r="S259" s="158"/>
      <c r="W259" s="159"/>
      <c r="Y259" s="157"/>
      <c r="Z259" s="158"/>
      <c r="AA259" s="158"/>
      <c r="AE259" s="159"/>
      <c r="AG259" s="157"/>
      <c r="AH259" s="158"/>
      <c r="AI259" s="158"/>
      <c r="AM259" s="159"/>
      <c r="AO259" s="157"/>
      <c r="AP259" s="158"/>
      <c r="AQ259" s="158"/>
      <c r="AU259" s="159"/>
      <c r="AW259" s="157"/>
      <c r="AX259" s="158"/>
      <c r="AY259" s="158"/>
      <c r="BC259" s="159"/>
      <c r="BE259" s="157"/>
      <c r="BF259" s="158"/>
      <c r="BG259" s="158"/>
      <c r="BK259" s="159"/>
      <c r="BM259" s="157"/>
      <c r="BN259" s="158"/>
      <c r="BO259" s="158"/>
      <c r="BS259" s="159"/>
      <c r="BU259" s="157"/>
      <c r="BV259" s="158"/>
      <c r="BW259" s="158"/>
      <c r="CA259" s="159"/>
      <c r="CC259" s="157"/>
      <c r="CD259" s="158"/>
      <c r="CE259" s="158"/>
      <c r="CI259" s="159"/>
      <c r="CK259" s="157"/>
      <c r="CL259" s="158"/>
      <c r="CM259" s="158"/>
      <c r="CQ259" s="159"/>
      <c r="CS259" s="157"/>
      <c r="CT259" s="158"/>
      <c r="CU259" s="158"/>
      <c r="CY259" s="159"/>
      <c r="DA259" s="157"/>
      <c r="DB259" s="158"/>
      <c r="DC259" s="158"/>
      <c r="DG259" s="159"/>
      <c r="DI259" s="157"/>
      <c r="DJ259" s="158"/>
      <c r="DK259" s="158"/>
      <c r="DO259" s="159"/>
      <c r="DQ259" s="157"/>
      <c r="DR259" s="158"/>
      <c r="DS259" s="158"/>
      <c r="DW259" s="159"/>
      <c r="DY259" s="157"/>
      <c r="DZ259" s="158"/>
      <c r="EA259" s="158"/>
      <c r="EE259" s="159"/>
      <c r="EG259" s="157"/>
      <c r="EH259" s="158"/>
      <c r="EI259" s="158"/>
      <c r="EM259" s="159"/>
      <c r="EO259" s="157"/>
      <c r="EP259" s="158"/>
      <c r="EQ259" s="158"/>
      <c r="EU259" s="159">
        <f>SUBTOTAL(9,EU260:EU268)</f>
        <v>21101.85</v>
      </c>
      <c r="EW259" s="157" t="s">
        <v>72</v>
      </c>
      <c r="EX259" s="158" t="s">
        <v>444</v>
      </c>
      <c r="EY259" s="158" t="s">
        <v>445</v>
      </c>
      <c r="FC259" s="159">
        <f>SUBTOTAL(9,FC260:FC268)</f>
        <v>21101.85</v>
      </c>
      <c r="FE259" s="157" t="s">
        <v>72</v>
      </c>
      <c r="FF259" s="158" t="s">
        <v>444</v>
      </c>
      <c r="FG259" s="158" t="s">
        <v>445</v>
      </c>
      <c r="FK259" s="159">
        <f>SUBTOTAL(9,FK260:FK268)</f>
        <v>21101.85</v>
      </c>
      <c r="FM259" s="157" t="s">
        <v>72</v>
      </c>
      <c r="FN259" s="158" t="s">
        <v>444</v>
      </c>
      <c r="FO259" s="158" t="s">
        <v>445</v>
      </c>
      <c r="FS259" s="159">
        <f>SUBTOTAL(9,FS260:FS268)</f>
        <v>21101.85</v>
      </c>
      <c r="FU259" s="157" t="s">
        <v>72</v>
      </c>
      <c r="FV259" s="158" t="s">
        <v>444</v>
      </c>
      <c r="FW259" s="158" t="s">
        <v>445</v>
      </c>
      <c r="GA259" s="159">
        <f>SUBTOTAL(9,GA260:GA268)</f>
        <v>21101.85</v>
      </c>
      <c r="GC259" s="157" t="s">
        <v>72</v>
      </c>
      <c r="GD259" s="158" t="s">
        <v>444</v>
      </c>
      <c r="GE259" s="158" t="s">
        <v>445</v>
      </c>
      <c r="GI259" s="159">
        <f>SUBTOTAL(9,GI260:GI268)</f>
        <v>21101.85</v>
      </c>
      <c r="GK259" s="157" t="s">
        <v>72</v>
      </c>
      <c r="GL259" s="158" t="s">
        <v>444</v>
      </c>
      <c r="GM259" s="158" t="s">
        <v>445</v>
      </c>
      <c r="GQ259" s="159">
        <f>SUBTOTAL(9,GQ260:GQ268)</f>
        <v>21101.85</v>
      </c>
      <c r="GS259" s="157" t="s">
        <v>72</v>
      </c>
      <c r="GT259" s="158" t="s">
        <v>444</v>
      </c>
      <c r="GU259" s="158" t="s">
        <v>445</v>
      </c>
      <c r="GY259" s="159">
        <f>SUBTOTAL(9,GY260:GY268)</f>
        <v>21101.85</v>
      </c>
      <c r="HA259" s="157" t="s">
        <v>72</v>
      </c>
      <c r="HB259" s="158" t="s">
        <v>444</v>
      </c>
      <c r="HC259" s="158" t="s">
        <v>445</v>
      </c>
      <c r="HG259" s="159">
        <f>SUBTOTAL(9,HG260:HG268)</f>
        <v>21101.85</v>
      </c>
      <c r="HI259" s="157" t="s">
        <v>72</v>
      </c>
      <c r="HJ259" s="158" t="s">
        <v>444</v>
      </c>
      <c r="HK259" s="158" t="s">
        <v>445</v>
      </c>
      <c r="HO259" s="159">
        <f>SUBTOTAL(9,HO260:HO268)</f>
        <v>21101.85</v>
      </c>
      <c r="HQ259" s="157" t="s">
        <v>72</v>
      </c>
      <c r="HR259" s="158" t="s">
        <v>444</v>
      </c>
      <c r="HS259" s="158" t="s">
        <v>445</v>
      </c>
      <c r="HW259" s="159">
        <f>SUBTOTAL(9,HW260:HW268)</f>
        <v>21101.85</v>
      </c>
      <c r="HY259" s="157" t="s">
        <v>72</v>
      </c>
      <c r="HZ259" s="158" t="s">
        <v>444</v>
      </c>
      <c r="IA259" s="158" t="s">
        <v>445</v>
      </c>
      <c r="IE259" s="159">
        <f>SUBTOTAL(9,IE260:IE268)</f>
        <v>21101.85</v>
      </c>
      <c r="IG259" s="157" t="s">
        <v>72</v>
      </c>
      <c r="IH259" s="158" t="s">
        <v>444</v>
      </c>
      <c r="II259" s="158" t="s">
        <v>445</v>
      </c>
      <c r="IM259" s="159">
        <f>SUBTOTAL(9,IM260:IM268)</f>
        <v>21101.85</v>
      </c>
      <c r="IO259" s="157" t="s">
        <v>72</v>
      </c>
      <c r="IP259" s="158" t="s">
        <v>444</v>
      </c>
      <c r="IQ259" s="158" t="s">
        <v>445</v>
      </c>
      <c r="IU259" s="159">
        <f>SUBTOTAL(9,IU260:IU268)</f>
        <v>21101.85</v>
      </c>
    </row>
    <row r="260" spans="2:256" s="167" customFormat="1" ht="58.5" customHeight="1">
      <c r="B260" s="242">
        <f>B258+1</f>
        <v>110</v>
      </c>
      <c r="C260" s="242" t="s">
        <v>131</v>
      </c>
      <c r="D260" s="243">
        <v>7625241004</v>
      </c>
      <c r="E260" s="242" t="s">
        <v>466</v>
      </c>
      <c r="F260" s="244" t="s">
        <v>134</v>
      </c>
      <c r="G260" s="245">
        <v>10</v>
      </c>
      <c r="H260" s="246">
        <v>285.26</v>
      </c>
      <c r="I260" s="172">
        <f aca="true" t="shared" si="63" ref="I260:I266">ROUND(H260*G260,2)</f>
        <v>2852.6</v>
      </c>
      <c r="J260" s="168"/>
      <c r="K260" s="247"/>
      <c r="L260" s="248"/>
      <c r="M260" s="249"/>
      <c r="N260" s="250"/>
      <c r="O260" s="250"/>
      <c r="P260" s="251"/>
      <c r="Q260" s="251"/>
      <c r="R260" s="252"/>
      <c r="S260" s="247"/>
      <c r="T260" s="248"/>
      <c r="U260" s="249"/>
      <c r="V260" s="250"/>
      <c r="W260" s="250"/>
      <c r="X260" s="251"/>
      <c r="Y260" s="251"/>
      <c r="Z260" s="168"/>
      <c r="AA260" s="169"/>
      <c r="AB260" s="170"/>
      <c r="AC260" s="171"/>
      <c r="AD260" s="172"/>
      <c r="AE260" s="172"/>
      <c r="AH260" s="168"/>
      <c r="AI260" s="169"/>
      <c r="AJ260" s="170"/>
      <c r="AK260" s="171"/>
      <c r="AL260" s="172"/>
      <c r="AM260" s="172"/>
      <c r="AP260" s="168"/>
      <c r="AQ260" s="169"/>
      <c r="AR260" s="170"/>
      <c r="AS260" s="171"/>
      <c r="AT260" s="172"/>
      <c r="AU260" s="172"/>
      <c r="AX260" s="168"/>
      <c r="AY260" s="169"/>
      <c r="AZ260" s="170"/>
      <c r="BA260" s="171"/>
      <c r="BB260" s="172"/>
      <c r="BC260" s="172"/>
      <c r="BF260" s="168"/>
      <c r="BG260" s="169"/>
      <c r="BH260" s="170"/>
      <c r="BI260" s="171"/>
      <c r="BJ260" s="172"/>
      <c r="BK260" s="172"/>
      <c r="BN260" s="168"/>
      <c r="BO260" s="169"/>
      <c r="BP260" s="170"/>
      <c r="BQ260" s="171"/>
      <c r="BR260" s="172"/>
      <c r="BS260" s="172"/>
      <c r="BV260" s="168"/>
      <c r="BW260" s="169"/>
      <c r="BX260" s="170"/>
      <c r="BY260" s="171"/>
      <c r="BZ260" s="172"/>
      <c r="CA260" s="172"/>
      <c r="CD260" s="168"/>
      <c r="CE260" s="169"/>
      <c r="CF260" s="170"/>
      <c r="CG260" s="171"/>
      <c r="CH260" s="172"/>
      <c r="CI260" s="172"/>
      <c r="CL260" s="168"/>
      <c r="CM260" s="169"/>
      <c r="CN260" s="170"/>
      <c r="CO260" s="171"/>
      <c r="CP260" s="172"/>
      <c r="CQ260" s="172"/>
      <c r="CT260" s="168"/>
      <c r="CU260" s="169"/>
      <c r="CV260" s="170"/>
      <c r="CW260" s="171"/>
      <c r="CX260" s="172"/>
      <c r="CY260" s="172"/>
      <c r="DB260" s="168"/>
      <c r="DC260" s="169"/>
      <c r="DD260" s="170"/>
      <c r="DE260" s="171"/>
      <c r="DF260" s="172"/>
      <c r="DG260" s="172"/>
      <c r="DJ260" s="168"/>
      <c r="DK260" s="169"/>
      <c r="DL260" s="170"/>
      <c r="DM260" s="171"/>
      <c r="DN260" s="172"/>
      <c r="DO260" s="172"/>
      <c r="DR260" s="168"/>
      <c r="DS260" s="169"/>
      <c r="DT260" s="170"/>
      <c r="DU260" s="171"/>
      <c r="DV260" s="172"/>
      <c r="DW260" s="172"/>
      <c r="DZ260" s="168"/>
      <c r="EA260" s="169"/>
      <c r="EB260" s="170"/>
      <c r="EC260" s="171"/>
      <c r="ED260" s="172"/>
      <c r="EE260" s="172"/>
      <c r="EH260" s="168"/>
      <c r="EI260" s="169"/>
      <c r="EJ260" s="170"/>
      <c r="EK260" s="171"/>
      <c r="EL260" s="172"/>
      <c r="EM260" s="172"/>
      <c r="EP260" s="168"/>
      <c r="EQ260" s="169"/>
      <c r="ER260" s="170"/>
      <c r="ES260" s="171">
        <v>33</v>
      </c>
      <c r="ET260" s="172">
        <v>639.45</v>
      </c>
      <c r="EU260" s="172">
        <f>ROUND(ET260*ES260,2)</f>
        <v>21101.85</v>
      </c>
      <c r="EV260" s="167">
        <f>EV257+1</f>
        <v>1</v>
      </c>
      <c r="EW260" s="167" t="s">
        <v>131</v>
      </c>
      <c r="EX260" s="168" t="s">
        <v>446</v>
      </c>
      <c r="EY260" s="169" t="s">
        <v>447</v>
      </c>
      <c r="EZ260" s="170" t="s">
        <v>134</v>
      </c>
      <c r="FA260" s="171">
        <v>33</v>
      </c>
      <c r="FB260" s="172">
        <v>639.45</v>
      </c>
      <c r="FC260" s="172">
        <f>ROUND(FB260*FA260,2)</f>
        <v>21101.85</v>
      </c>
      <c r="FD260" s="167">
        <f>FD257+1</f>
        <v>1</v>
      </c>
      <c r="FE260" s="167" t="s">
        <v>131</v>
      </c>
      <c r="FF260" s="168" t="s">
        <v>446</v>
      </c>
      <c r="FG260" s="169" t="s">
        <v>447</v>
      </c>
      <c r="FH260" s="170" t="s">
        <v>134</v>
      </c>
      <c r="FI260" s="171">
        <v>33</v>
      </c>
      <c r="FJ260" s="172">
        <v>639.45</v>
      </c>
      <c r="FK260" s="172">
        <f>ROUND(FJ260*FI260,2)</f>
        <v>21101.85</v>
      </c>
      <c r="FL260" s="167">
        <f>FL257+1</f>
        <v>1</v>
      </c>
      <c r="FM260" s="167" t="s">
        <v>131</v>
      </c>
      <c r="FN260" s="168" t="s">
        <v>446</v>
      </c>
      <c r="FO260" s="169" t="s">
        <v>447</v>
      </c>
      <c r="FP260" s="170" t="s">
        <v>134</v>
      </c>
      <c r="FQ260" s="171">
        <v>33</v>
      </c>
      <c r="FR260" s="172">
        <v>639.45</v>
      </c>
      <c r="FS260" s="172">
        <f>ROUND(FR260*FQ260,2)</f>
        <v>21101.85</v>
      </c>
      <c r="FT260" s="167">
        <f>FT257+1</f>
        <v>1</v>
      </c>
      <c r="FU260" s="167" t="s">
        <v>131</v>
      </c>
      <c r="FV260" s="168" t="s">
        <v>446</v>
      </c>
      <c r="FW260" s="169" t="s">
        <v>447</v>
      </c>
      <c r="FX260" s="170" t="s">
        <v>134</v>
      </c>
      <c r="FY260" s="171">
        <v>33</v>
      </c>
      <c r="FZ260" s="172">
        <v>639.45</v>
      </c>
      <c r="GA260" s="172">
        <f>ROUND(FZ260*FY260,2)</f>
        <v>21101.85</v>
      </c>
      <c r="GB260" s="167">
        <f>GB257+1</f>
        <v>1</v>
      </c>
      <c r="GC260" s="167" t="s">
        <v>131</v>
      </c>
      <c r="GD260" s="168" t="s">
        <v>446</v>
      </c>
      <c r="GE260" s="169" t="s">
        <v>447</v>
      </c>
      <c r="GF260" s="170" t="s">
        <v>134</v>
      </c>
      <c r="GG260" s="171">
        <v>33</v>
      </c>
      <c r="GH260" s="172">
        <v>639.45</v>
      </c>
      <c r="GI260" s="172">
        <f>ROUND(GH260*GG260,2)</f>
        <v>21101.85</v>
      </c>
      <c r="GJ260" s="167">
        <f>GJ257+1</f>
        <v>1</v>
      </c>
      <c r="GK260" s="167" t="s">
        <v>131</v>
      </c>
      <c r="GL260" s="168" t="s">
        <v>446</v>
      </c>
      <c r="GM260" s="169" t="s">
        <v>447</v>
      </c>
      <c r="GN260" s="170" t="s">
        <v>134</v>
      </c>
      <c r="GO260" s="171">
        <v>33</v>
      </c>
      <c r="GP260" s="172">
        <v>639.45</v>
      </c>
      <c r="GQ260" s="172">
        <f>ROUND(GP260*GO260,2)</f>
        <v>21101.85</v>
      </c>
      <c r="GR260" s="167">
        <f>GR257+1</f>
        <v>1</v>
      </c>
      <c r="GS260" s="167" t="s">
        <v>131</v>
      </c>
      <c r="GT260" s="168" t="s">
        <v>446</v>
      </c>
      <c r="GU260" s="169" t="s">
        <v>447</v>
      </c>
      <c r="GV260" s="170" t="s">
        <v>134</v>
      </c>
      <c r="GW260" s="171">
        <v>33</v>
      </c>
      <c r="GX260" s="172">
        <v>639.45</v>
      </c>
      <c r="GY260" s="172">
        <f>ROUND(GX260*GW260,2)</f>
        <v>21101.85</v>
      </c>
      <c r="GZ260" s="167">
        <f>GZ257+1</f>
        <v>1</v>
      </c>
      <c r="HA260" s="167" t="s">
        <v>131</v>
      </c>
      <c r="HB260" s="168" t="s">
        <v>446</v>
      </c>
      <c r="HC260" s="169" t="s">
        <v>447</v>
      </c>
      <c r="HD260" s="170" t="s">
        <v>134</v>
      </c>
      <c r="HE260" s="171">
        <v>33</v>
      </c>
      <c r="HF260" s="172">
        <v>639.45</v>
      </c>
      <c r="HG260" s="172">
        <f>ROUND(HF260*HE260,2)</f>
        <v>21101.85</v>
      </c>
      <c r="HH260" s="167">
        <f>HH257+1</f>
        <v>1</v>
      </c>
      <c r="HI260" s="167" t="s">
        <v>131</v>
      </c>
      <c r="HJ260" s="168" t="s">
        <v>446</v>
      </c>
      <c r="HK260" s="169" t="s">
        <v>447</v>
      </c>
      <c r="HL260" s="170" t="s">
        <v>134</v>
      </c>
      <c r="HM260" s="171">
        <v>33</v>
      </c>
      <c r="HN260" s="172">
        <v>639.45</v>
      </c>
      <c r="HO260" s="172">
        <f>ROUND(HN260*HM260,2)</f>
        <v>21101.85</v>
      </c>
      <c r="HP260" s="167">
        <f>HP257+1</f>
        <v>1</v>
      </c>
      <c r="HQ260" s="167" t="s">
        <v>131</v>
      </c>
      <c r="HR260" s="168" t="s">
        <v>446</v>
      </c>
      <c r="HS260" s="169" t="s">
        <v>447</v>
      </c>
      <c r="HT260" s="170" t="s">
        <v>134</v>
      </c>
      <c r="HU260" s="171">
        <v>33</v>
      </c>
      <c r="HV260" s="172">
        <v>639.45</v>
      </c>
      <c r="HW260" s="172">
        <f>ROUND(HV260*HU260,2)</f>
        <v>21101.85</v>
      </c>
      <c r="HX260" s="167">
        <f>HX257+1</f>
        <v>1</v>
      </c>
      <c r="HY260" s="167" t="s">
        <v>131</v>
      </c>
      <c r="HZ260" s="168" t="s">
        <v>446</v>
      </c>
      <c r="IA260" s="169" t="s">
        <v>447</v>
      </c>
      <c r="IB260" s="170" t="s">
        <v>134</v>
      </c>
      <c r="IC260" s="171">
        <v>33</v>
      </c>
      <c r="ID260" s="172">
        <v>639.45</v>
      </c>
      <c r="IE260" s="172">
        <f>ROUND(ID260*IC260,2)</f>
        <v>21101.85</v>
      </c>
      <c r="IF260" s="167">
        <f>IF257+1</f>
        <v>1</v>
      </c>
      <c r="IG260" s="167" t="s">
        <v>131</v>
      </c>
      <c r="IH260" s="168" t="s">
        <v>446</v>
      </c>
      <c r="II260" s="169" t="s">
        <v>447</v>
      </c>
      <c r="IJ260" s="170" t="s">
        <v>134</v>
      </c>
      <c r="IK260" s="171">
        <v>33</v>
      </c>
      <c r="IL260" s="172">
        <v>639.45</v>
      </c>
      <c r="IM260" s="172">
        <f>ROUND(IL260*IK260,2)</f>
        <v>21101.85</v>
      </c>
      <c r="IN260" s="167">
        <f>IN257+1</f>
        <v>1</v>
      </c>
      <c r="IO260" s="167" t="s">
        <v>131</v>
      </c>
      <c r="IP260" s="168" t="s">
        <v>446</v>
      </c>
      <c r="IQ260" s="169" t="s">
        <v>447</v>
      </c>
      <c r="IR260" s="170" t="s">
        <v>134</v>
      </c>
      <c r="IS260" s="171">
        <v>33</v>
      </c>
      <c r="IT260" s="172">
        <v>639.45</v>
      </c>
      <c r="IU260" s="172">
        <f>ROUND(IT260*IS260,2)</f>
        <v>21101.85</v>
      </c>
      <c r="IV260" s="167">
        <f>IV257+1</f>
        <v>1</v>
      </c>
    </row>
    <row r="261" spans="1:256" s="172" customFormat="1" ht="24" customHeight="1">
      <c r="A261" s="167"/>
      <c r="B261" s="242">
        <f aca="true" t="shared" si="64" ref="B261:B267">B260+1</f>
        <v>111</v>
      </c>
      <c r="C261" s="242" t="s">
        <v>131</v>
      </c>
      <c r="D261" s="243" t="s">
        <v>467</v>
      </c>
      <c r="E261" s="242" t="s">
        <v>468</v>
      </c>
      <c r="F261" s="244" t="s">
        <v>172</v>
      </c>
      <c r="G261" s="245">
        <v>60</v>
      </c>
      <c r="H261" s="246">
        <v>12</v>
      </c>
      <c r="I261" s="172">
        <f t="shared" si="63"/>
        <v>720</v>
      </c>
      <c r="J261" s="168"/>
      <c r="K261" s="247"/>
      <c r="L261" s="248"/>
      <c r="M261" s="249"/>
      <c r="N261" s="250"/>
      <c r="O261" s="250"/>
      <c r="P261" s="251"/>
      <c r="Q261" s="251"/>
      <c r="R261" s="252"/>
      <c r="S261" s="247"/>
      <c r="T261" s="248"/>
      <c r="U261" s="249"/>
      <c r="V261" s="250"/>
      <c r="W261" s="250"/>
      <c r="X261" s="251"/>
      <c r="Y261" s="251"/>
      <c r="Z261" s="168"/>
      <c r="AA261" s="169"/>
      <c r="AB261" s="170"/>
      <c r="AC261" s="171"/>
      <c r="AF261" s="167"/>
      <c r="AG261" s="167"/>
      <c r="AH261" s="168"/>
      <c r="AI261" s="169"/>
      <c r="AJ261" s="170"/>
      <c r="AK261" s="171"/>
      <c r="AN261" s="167"/>
      <c r="AO261" s="167"/>
      <c r="AP261" s="168"/>
      <c r="AQ261" s="169"/>
      <c r="AR261" s="170"/>
      <c r="AS261" s="171"/>
      <c r="AV261" s="167"/>
      <c r="AW261" s="167"/>
      <c r="AX261" s="168"/>
      <c r="AY261" s="169"/>
      <c r="AZ261" s="170"/>
      <c r="BA261" s="171"/>
      <c r="BD261" s="167"/>
      <c r="BE261" s="167"/>
      <c r="BF261" s="168"/>
      <c r="BG261" s="169"/>
      <c r="BH261" s="170"/>
      <c r="BI261" s="171"/>
      <c r="BL261" s="167"/>
      <c r="BM261" s="167"/>
      <c r="BN261" s="168"/>
      <c r="BO261" s="169"/>
      <c r="BP261" s="170"/>
      <c r="BQ261" s="171"/>
      <c r="BT261" s="167"/>
      <c r="BU261" s="167"/>
      <c r="BV261" s="168"/>
      <c r="BW261" s="169"/>
      <c r="BX261" s="170"/>
      <c r="BY261" s="171"/>
      <c r="CB261" s="167"/>
      <c r="CC261" s="167"/>
      <c r="CD261" s="168"/>
      <c r="CE261" s="169"/>
      <c r="CF261" s="170"/>
      <c r="CG261" s="171"/>
      <c r="CJ261" s="167"/>
      <c r="CK261" s="167"/>
      <c r="CL261" s="168"/>
      <c r="CM261" s="169"/>
      <c r="CN261" s="170"/>
      <c r="CO261" s="171"/>
      <c r="CR261" s="167"/>
      <c r="CS261" s="167"/>
      <c r="CT261" s="168"/>
      <c r="CU261" s="169"/>
      <c r="CV261" s="170"/>
      <c r="CW261" s="171"/>
      <c r="CZ261" s="167"/>
      <c r="DA261" s="167"/>
      <c r="DB261" s="168"/>
      <c r="DC261" s="169"/>
      <c r="DD261" s="170"/>
      <c r="DE261" s="171"/>
      <c r="DH261" s="167"/>
      <c r="DI261" s="167"/>
      <c r="DJ261" s="168"/>
      <c r="DK261" s="169"/>
      <c r="DL261" s="170"/>
      <c r="DM261" s="171"/>
      <c r="DP261" s="167"/>
      <c r="DQ261" s="167"/>
      <c r="DR261" s="168"/>
      <c r="DS261" s="169"/>
      <c r="DT261" s="170"/>
      <c r="DU261" s="171"/>
      <c r="DX261" s="167"/>
      <c r="DY261" s="167"/>
      <c r="DZ261" s="168"/>
      <c r="EA261" s="169"/>
      <c r="EB261" s="170"/>
      <c r="EC261" s="171"/>
      <c r="EF261" s="167"/>
      <c r="EG261" s="167"/>
      <c r="EH261" s="168"/>
      <c r="EI261" s="169"/>
      <c r="EJ261" s="170"/>
      <c r="EK261" s="171"/>
      <c r="EN261" s="167"/>
      <c r="EO261" s="167"/>
      <c r="EP261" s="168"/>
      <c r="EQ261" s="169"/>
      <c r="ER261" s="170"/>
      <c r="ES261" s="171"/>
      <c r="EV261" s="167"/>
      <c r="EW261" s="167"/>
      <c r="EX261" s="168"/>
      <c r="EY261" s="169"/>
      <c r="EZ261" s="170"/>
      <c r="FA261" s="171"/>
      <c r="FD261" s="167"/>
      <c r="FE261" s="167"/>
      <c r="FF261" s="168"/>
      <c r="FG261" s="169"/>
      <c r="FH261" s="170"/>
      <c r="FI261" s="171"/>
      <c r="FL261" s="167"/>
      <c r="FM261" s="167"/>
      <c r="FN261" s="168"/>
      <c r="FO261" s="169"/>
      <c r="FP261" s="170"/>
      <c r="FQ261" s="171"/>
      <c r="FT261" s="167"/>
      <c r="FU261" s="167"/>
      <c r="FV261" s="168"/>
      <c r="FW261" s="169"/>
      <c r="FX261" s="170"/>
      <c r="FY261" s="171"/>
      <c r="GB261" s="167"/>
      <c r="GC261" s="167"/>
      <c r="GD261" s="168"/>
      <c r="GE261" s="169"/>
      <c r="GF261" s="170"/>
      <c r="GG261" s="171"/>
      <c r="GJ261" s="167"/>
      <c r="GK261" s="167"/>
      <c r="GL261" s="168"/>
      <c r="GM261" s="169"/>
      <c r="GN261" s="170"/>
      <c r="GO261" s="171"/>
      <c r="GR261" s="167"/>
      <c r="GS261" s="167"/>
      <c r="GT261" s="168"/>
      <c r="GU261" s="169"/>
      <c r="GV261" s="170"/>
      <c r="GW261" s="171"/>
      <c r="GZ261" s="167"/>
      <c r="HA261" s="167"/>
      <c r="HB261" s="168"/>
      <c r="HC261" s="169"/>
      <c r="HD261" s="170"/>
      <c r="HE261" s="171"/>
      <c r="HH261" s="167"/>
      <c r="HI261" s="167"/>
      <c r="HJ261" s="168"/>
      <c r="HK261" s="169"/>
      <c r="HL261" s="170"/>
      <c r="HM261" s="171"/>
      <c r="HP261" s="167"/>
      <c r="HQ261" s="167"/>
      <c r="HR261" s="168"/>
      <c r="HS261" s="169"/>
      <c r="HT261" s="170"/>
      <c r="HU261" s="171"/>
      <c r="HX261" s="167"/>
      <c r="HY261" s="167"/>
      <c r="HZ261" s="168"/>
      <c r="IA261" s="169"/>
      <c r="IB261" s="170"/>
      <c r="IC261" s="171"/>
      <c r="IF261" s="167"/>
      <c r="IG261" s="167"/>
      <c r="IH261" s="168"/>
      <c r="II261" s="169"/>
      <c r="IJ261" s="170"/>
      <c r="IK261" s="171"/>
      <c r="IN261" s="167"/>
      <c r="IO261" s="167"/>
      <c r="IP261" s="168"/>
      <c r="IQ261" s="169"/>
      <c r="IR261" s="170"/>
      <c r="IS261" s="171"/>
      <c r="IV261" s="167"/>
    </row>
    <row r="262" spans="1:256" s="172" customFormat="1" ht="24" customHeight="1">
      <c r="A262" s="167"/>
      <c r="B262" s="242">
        <f t="shared" si="64"/>
        <v>112</v>
      </c>
      <c r="C262" s="242" t="s">
        <v>193</v>
      </c>
      <c r="D262" s="243">
        <v>611980003800</v>
      </c>
      <c r="E262" s="242" t="s">
        <v>469</v>
      </c>
      <c r="F262" s="244" t="s">
        <v>172</v>
      </c>
      <c r="G262" s="245">
        <f>G261</f>
        <v>60</v>
      </c>
      <c r="H262" s="246">
        <v>38.5</v>
      </c>
      <c r="I262" s="172">
        <f t="shared" si="63"/>
        <v>2310</v>
      </c>
      <c r="J262" s="168"/>
      <c r="K262" s="247"/>
      <c r="L262" s="248"/>
      <c r="M262" s="249"/>
      <c r="N262" s="250"/>
      <c r="O262" s="250"/>
      <c r="P262" s="251"/>
      <c r="Q262" s="251"/>
      <c r="R262" s="252"/>
      <c r="S262" s="247"/>
      <c r="T262" s="248"/>
      <c r="U262" s="249"/>
      <c r="V262" s="250"/>
      <c r="W262" s="250"/>
      <c r="X262" s="251"/>
      <c r="Y262" s="251"/>
      <c r="Z262" s="168"/>
      <c r="AA262" s="169"/>
      <c r="AB262" s="170"/>
      <c r="AC262" s="171"/>
      <c r="AF262" s="167"/>
      <c r="AG262" s="167"/>
      <c r="AH262" s="168"/>
      <c r="AI262" s="169"/>
      <c r="AJ262" s="170"/>
      <c r="AK262" s="171"/>
      <c r="AN262" s="167"/>
      <c r="AO262" s="167"/>
      <c r="AP262" s="168"/>
      <c r="AQ262" s="169"/>
      <c r="AR262" s="170"/>
      <c r="AS262" s="171"/>
      <c r="AV262" s="167"/>
      <c r="AW262" s="167"/>
      <c r="AX262" s="168"/>
      <c r="AY262" s="169"/>
      <c r="AZ262" s="170"/>
      <c r="BA262" s="171"/>
      <c r="BD262" s="167"/>
      <c r="BE262" s="167"/>
      <c r="BF262" s="168"/>
      <c r="BG262" s="169"/>
      <c r="BH262" s="170"/>
      <c r="BI262" s="171"/>
      <c r="BL262" s="167"/>
      <c r="BM262" s="167"/>
      <c r="BN262" s="168"/>
      <c r="BO262" s="169"/>
      <c r="BP262" s="170"/>
      <c r="BQ262" s="171"/>
      <c r="BT262" s="167"/>
      <c r="BU262" s="167"/>
      <c r="BV262" s="168"/>
      <c r="BW262" s="169"/>
      <c r="BX262" s="170"/>
      <c r="BY262" s="171"/>
      <c r="CB262" s="167"/>
      <c r="CC262" s="167"/>
      <c r="CD262" s="168"/>
      <c r="CE262" s="169"/>
      <c r="CF262" s="170"/>
      <c r="CG262" s="171"/>
      <c r="CJ262" s="167"/>
      <c r="CK262" s="167"/>
      <c r="CL262" s="168"/>
      <c r="CM262" s="169"/>
      <c r="CN262" s="170"/>
      <c r="CO262" s="171"/>
      <c r="CR262" s="167"/>
      <c r="CS262" s="167"/>
      <c r="CT262" s="168"/>
      <c r="CU262" s="169"/>
      <c r="CV262" s="170"/>
      <c r="CW262" s="171"/>
      <c r="CZ262" s="167"/>
      <c r="DA262" s="167"/>
      <c r="DB262" s="168"/>
      <c r="DC262" s="169"/>
      <c r="DD262" s="170"/>
      <c r="DE262" s="171"/>
      <c r="DH262" s="167"/>
      <c r="DI262" s="167"/>
      <c r="DJ262" s="168"/>
      <c r="DK262" s="169"/>
      <c r="DL262" s="170"/>
      <c r="DM262" s="171"/>
      <c r="DP262" s="167"/>
      <c r="DQ262" s="167"/>
      <c r="DR262" s="168"/>
      <c r="DS262" s="169"/>
      <c r="DT262" s="170"/>
      <c r="DU262" s="171"/>
      <c r="DX262" s="167"/>
      <c r="DY262" s="167"/>
      <c r="DZ262" s="168"/>
      <c r="EA262" s="169"/>
      <c r="EB262" s="170"/>
      <c r="EC262" s="171"/>
      <c r="EF262" s="167"/>
      <c r="EG262" s="167"/>
      <c r="EH262" s="168"/>
      <c r="EI262" s="169"/>
      <c r="EJ262" s="170"/>
      <c r="EK262" s="171"/>
      <c r="EN262" s="167"/>
      <c r="EO262" s="167"/>
      <c r="EP262" s="168"/>
      <c r="EQ262" s="169"/>
      <c r="ER262" s="170"/>
      <c r="ES262" s="171"/>
      <c r="EV262" s="167"/>
      <c r="EW262" s="167"/>
      <c r="EX262" s="168"/>
      <c r="EY262" s="169"/>
      <c r="EZ262" s="170"/>
      <c r="FA262" s="171"/>
      <c r="FD262" s="167"/>
      <c r="FE262" s="167"/>
      <c r="FF262" s="168"/>
      <c r="FG262" s="169"/>
      <c r="FH262" s="170"/>
      <c r="FI262" s="171"/>
      <c r="FL262" s="167"/>
      <c r="FM262" s="167"/>
      <c r="FN262" s="168"/>
      <c r="FO262" s="169"/>
      <c r="FP262" s="170"/>
      <c r="FQ262" s="171"/>
      <c r="FT262" s="167"/>
      <c r="FU262" s="167"/>
      <c r="FV262" s="168"/>
      <c r="FW262" s="169"/>
      <c r="FX262" s="170"/>
      <c r="FY262" s="171"/>
      <c r="GB262" s="167"/>
      <c r="GC262" s="167"/>
      <c r="GD262" s="168"/>
      <c r="GE262" s="169"/>
      <c r="GF262" s="170"/>
      <c r="GG262" s="171"/>
      <c r="GJ262" s="167"/>
      <c r="GK262" s="167"/>
      <c r="GL262" s="168"/>
      <c r="GM262" s="169"/>
      <c r="GN262" s="170"/>
      <c r="GO262" s="171"/>
      <c r="GR262" s="167"/>
      <c r="GS262" s="167"/>
      <c r="GT262" s="168"/>
      <c r="GU262" s="169"/>
      <c r="GV262" s="170"/>
      <c r="GW262" s="171"/>
      <c r="GZ262" s="167"/>
      <c r="HA262" s="167"/>
      <c r="HB262" s="168"/>
      <c r="HC262" s="169"/>
      <c r="HD262" s="170"/>
      <c r="HE262" s="171"/>
      <c r="HH262" s="167"/>
      <c r="HI262" s="167"/>
      <c r="HJ262" s="168"/>
      <c r="HK262" s="169"/>
      <c r="HL262" s="170"/>
      <c r="HM262" s="171"/>
      <c r="HP262" s="167"/>
      <c r="HQ262" s="167"/>
      <c r="HR262" s="168"/>
      <c r="HS262" s="169"/>
      <c r="HT262" s="170"/>
      <c r="HU262" s="171"/>
      <c r="HX262" s="167"/>
      <c r="HY262" s="167"/>
      <c r="HZ262" s="168"/>
      <c r="IA262" s="169"/>
      <c r="IB262" s="170"/>
      <c r="IC262" s="171"/>
      <c r="IF262" s="167"/>
      <c r="IG262" s="167"/>
      <c r="IH262" s="168"/>
      <c r="II262" s="169"/>
      <c r="IJ262" s="170"/>
      <c r="IK262" s="171"/>
      <c r="IN262" s="167"/>
      <c r="IO262" s="167"/>
      <c r="IP262" s="168"/>
      <c r="IQ262" s="169"/>
      <c r="IR262" s="170"/>
      <c r="IS262" s="171"/>
      <c r="IV262" s="167"/>
    </row>
    <row r="263" spans="1:256" s="172" customFormat="1" ht="24" customHeight="1">
      <c r="A263" s="167"/>
      <c r="B263" s="242">
        <f t="shared" si="64"/>
        <v>113</v>
      </c>
      <c r="C263" s="242" t="s">
        <v>131</v>
      </c>
      <c r="D263" s="243" t="s">
        <v>470</v>
      </c>
      <c r="E263" s="242" t="s">
        <v>471</v>
      </c>
      <c r="F263" s="244" t="s">
        <v>172</v>
      </c>
      <c r="G263" s="245">
        <f>G262</f>
        <v>60</v>
      </c>
      <c r="H263" s="246">
        <v>5.89</v>
      </c>
      <c r="I263" s="172">
        <f t="shared" si="63"/>
        <v>353.4</v>
      </c>
      <c r="J263" s="168"/>
      <c r="K263" s="247"/>
      <c r="L263" s="248"/>
      <c r="M263" s="249"/>
      <c r="N263" s="250"/>
      <c r="O263" s="250"/>
      <c r="P263" s="251"/>
      <c r="Q263" s="251"/>
      <c r="R263" s="252"/>
      <c r="S263" s="247"/>
      <c r="T263" s="248"/>
      <c r="U263" s="249"/>
      <c r="V263" s="250"/>
      <c r="W263" s="250"/>
      <c r="X263" s="251"/>
      <c r="Y263" s="251"/>
      <c r="Z263" s="168"/>
      <c r="AA263" s="169"/>
      <c r="AB263" s="170"/>
      <c r="AC263" s="171"/>
      <c r="AF263" s="167"/>
      <c r="AG263" s="167"/>
      <c r="AH263" s="168"/>
      <c r="AI263" s="169"/>
      <c r="AJ263" s="170"/>
      <c r="AK263" s="171"/>
      <c r="AN263" s="167"/>
      <c r="AO263" s="167"/>
      <c r="AP263" s="168"/>
      <c r="AQ263" s="169"/>
      <c r="AR263" s="170"/>
      <c r="AS263" s="171"/>
      <c r="AV263" s="167"/>
      <c r="AW263" s="167"/>
      <c r="AX263" s="168"/>
      <c r="AY263" s="169"/>
      <c r="AZ263" s="170"/>
      <c r="BA263" s="171"/>
      <c r="BD263" s="167"/>
      <c r="BE263" s="167"/>
      <c r="BF263" s="168"/>
      <c r="BG263" s="169"/>
      <c r="BH263" s="170"/>
      <c r="BI263" s="171"/>
      <c r="BL263" s="167"/>
      <c r="BM263" s="167"/>
      <c r="BN263" s="168"/>
      <c r="BO263" s="169"/>
      <c r="BP263" s="170"/>
      <c r="BQ263" s="171"/>
      <c r="BT263" s="167"/>
      <c r="BU263" s="167"/>
      <c r="BV263" s="168"/>
      <c r="BW263" s="169"/>
      <c r="BX263" s="170"/>
      <c r="BY263" s="171"/>
      <c r="CB263" s="167"/>
      <c r="CC263" s="167"/>
      <c r="CD263" s="168"/>
      <c r="CE263" s="169"/>
      <c r="CF263" s="170"/>
      <c r="CG263" s="171"/>
      <c r="CJ263" s="167"/>
      <c r="CK263" s="167"/>
      <c r="CL263" s="168"/>
      <c r="CM263" s="169"/>
      <c r="CN263" s="170"/>
      <c r="CO263" s="171"/>
      <c r="CR263" s="167"/>
      <c r="CS263" s="167"/>
      <c r="CT263" s="168"/>
      <c r="CU263" s="169"/>
      <c r="CV263" s="170"/>
      <c r="CW263" s="171"/>
      <c r="CZ263" s="167"/>
      <c r="DA263" s="167"/>
      <c r="DB263" s="168"/>
      <c r="DC263" s="169"/>
      <c r="DD263" s="170"/>
      <c r="DE263" s="171"/>
      <c r="DH263" s="167"/>
      <c r="DI263" s="167"/>
      <c r="DJ263" s="168"/>
      <c r="DK263" s="169"/>
      <c r="DL263" s="170"/>
      <c r="DM263" s="171"/>
      <c r="DP263" s="167"/>
      <c r="DQ263" s="167"/>
      <c r="DR263" s="168"/>
      <c r="DS263" s="169"/>
      <c r="DT263" s="170"/>
      <c r="DU263" s="171"/>
      <c r="DX263" s="167"/>
      <c r="DY263" s="167"/>
      <c r="DZ263" s="168"/>
      <c r="EA263" s="169"/>
      <c r="EB263" s="170"/>
      <c r="EC263" s="171"/>
      <c r="EF263" s="167"/>
      <c r="EG263" s="167"/>
      <c r="EH263" s="168"/>
      <c r="EI263" s="169"/>
      <c r="EJ263" s="170"/>
      <c r="EK263" s="171"/>
      <c r="EN263" s="167"/>
      <c r="EO263" s="167"/>
      <c r="EP263" s="168"/>
      <c r="EQ263" s="169"/>
      <c r="ER263" s="170"/>
      <c r="ES263" s="171"/>
      <c r="EV263" s="167"/>
      <c r="EW263" s="167"/>
      <c r="EX263" s="168"/>
      <c r="EY263" s="169"/>
      <c r="EZ263" s="170"/>
      <c r="FA263" s="171"/>
      <c r="FD263" s="167"/>
      <c r="FE263" s="167"/>
      <c r="FF263" s="168"/>
      <c r="FG263" s="169"/>
      <c r="FH263" s="170"/>
      <c r="FI263" s="171"/>
      <c r="FL263" s="167"/>
      <c r="FM263" s="167"/>
      <c r="FN263" s="168"/>
      <c r="FO263" s="169"/>
      <c r="FP263" s="170"/>
      <c r="FQ263" s="171"/>
      <c r="FT263" s="167"/>
      <c r="FU263" s="167"/>
      <c r="FV263" s="168"/>
      <c r="FW263" s="169"/>
      <c r="FX263" s="170"/>
      <c r="FY263" s="171"/>
      <c r="GB263" s="167"/>
      <c r="GC263" s="167"/>
      <c r="GD263" s="168"/>
      <c r="GE263" s="169"/>
      <c r="GF263" s="170"/>
      <c r="GG263" s="171"/>
      <c r="GJ263" s="167"/>
      <c r="GK263" s="167"/>
      <c r="GL263" s="168"/>
      <c r="GM263" s="169"/>
      <c r="GN263" s="170"/>
      <c r="GO263" s="171"/>
      <c r="GR263" s="167"/>
      <c r="GS263" s="167"/>
      <c r="GT263" s="168"/>
      <c r="GU263" s="169"/>
      <c r="GV263" s="170"/>
      <c r="GW263" s="171"/>
      <c r="GZ263" s="167"/>
      <c r="HA263" s="167"/>
      <c r="HB263" s="168"/>
      <c r="HC263" s="169"/>
      <c r="HD263" s="170"/>
      <c r="HE263" s="171"/>
      <c r="HH263" s="167"/>
      <c r="HI263" s="167"/>
      <c r="HJ263" s="168"/>
      <c r="HK263" s="169"/>
      <c r="HL263" s="170"/>
      <c r="HM263" s="171"/>
      <c r="HP263" s="167"/>
      <c r="HQ263" s="167"/>
      <c r="HR263" s="168"/>
      <c r="HS263" s="169"/>
      <c r="HT263" s="170"/>
      <c r="HU263" s="171"/>
      <c r="HX263" s="167"/>
      <c r="HY263" s="167"/>
      <c r="HZ263" s="168"/>
      <c r="IA263" s="169"/>
      <c r="IB263" s="170"/>
      <c r="IC263" s="171"/>
      <c r="IF263" s="167"/>
      <c r="IG263" s="167"/>
      <c r="IH263" s="168"/>
      <c r="II263" s="169"/>
      <c r="IJ263" s="170"/>
      <c r="IK263" s="171"/>
      <c r="IN263" s="167"/>
      <c r="IO263" s="167"/>
      <c r="IP263" s="168"/>
      <c r="IQ263" s="169"/>
      <c r="IR263" s="170"/>
      <c r="IS263" s="171"/>
      <c r="IV263" s="167"/>
    </row>
    <row r="264" spans="1:64" s="180" customFormat="1" ht="24" customHeight="1">
      <c r="A264" s="166"/>
      <c r="B264" s="242">
        <f t="shared" si="64"/>
        <v>114</v>
      </c>
      <c r="C264" s="242" t="s">
        <v>193</v>
      </c>
      <c r="D264" s="243" t="s">
        <v>472</v>
      </c>
      <c r="E264" s="242" t="s">
        <v>473</v>
      </c>
      <c r="F264" s="244" t="s">
        <v>182</v>
      </c>
      <c r="G264" s="245">
        <v>7.2</v>
      </c>
      <c r="H264" s="246">
        <v>500</v>
      </c>
      <c r="I264" s="172">
        <f t="shared" si="63"/>
        <v>3600</v>
      </c>
      <c r="J264" s="173"/>
      <c r="K264" s="253"/>
      <c r="L264" s="254"/>
      <c r="M264" s="176"/>
      <c r="N264" s="177"/>
      <c r="O264" s="177"/>
      <c r="P264" s="177"/>
      <c r="Q264" s="177"/>
      <c r="R264" s="177"/>
      <c r="S264" s="177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Q264" s="181"/>
      <c r="AS264" s="181"/>
      <c r="AT264" s="181"/>
      <c r="AX264" s="182"/>
      <c r="BD264" s="183"/>
      <c r="BE264" s="183"/>
      <c r="BF264" s="183"/>
      <c r="BG264" s="183"/>
      <c r="BH264" s="183"/>
      <c r="BI264" s="182"/>
      <c r="BJ264" s="183"/>
      <c r="BK264" s="182"/>
      <c r="BL264" s="181"/>
    </row>
    <row r="265" spans="1:64" s="180" customFormat="1" ht="24" customHeight="1">
      <c r="A265" s="166"/>
      <c r="B265" s="242">
        <f t="shared" si="64"/>
        <v>115</v>
      </c>
      <c r="C265" s="242" t="s">
        <v>131</v>
      </c>
      <c r="D265" s="243" t="s">
        <v>474</v>
      </c>
      <c r="E265" s="242" t="s">
        <v>475</v>
      </c>
      <c r="F265" s="244" t="s">
        <v>476</v>
      </c>
      <c r="G265" s="245">
        <v>6</v>
      </c>
      <c r="H265" s="246">
        <v>30.7</v>
      </c>
      <c r="I265" s="172">
        <f t="shared" si="63"/>
        <v>184.2</v>
      </c>
      <c r="J265" s="173"/>
      <c r="K265" s="253"/>
      <c r="L265" s="254"/>
      <c r="M265" s="176"/>
      <c r="N265" s="177"/>
      <c r="O265" s="177"/>
      <c r="P265" s="177"/>
      <c r="Q265" s="177"/>
      <c r="R265" s="177"/>
      <c r="S265" s="177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Q265" s="181"/>
      <c r="AS265" s="181"/>
      <c r="AT265" s="181"/>
      <c r="AX265" s="182"/>
      <c r="BD265" s="183"/>
      <c r="BE265" s="183"/>
      <c r="BF265" s="183"/>
      <c r="BG265" s="183"/>
      <c r="BH265" s="183"/>
      <c r="BI265" s="182"/>
      <c r="BJ265" s="183"/>
      <c r="BK265" s="182"/>
      <c r="BL265" s="181"/>
    </row>
    <row r="266" spans="1:64" s="180" customFormat="1" ht="24" customHeight="1">
      <c r="A266" s="166"/>
      <c r="B266" s="242">
        <f t="shared" si="64"/>
        <v>116</v>
      </c>
      <c r="C266" s="242" t="s">
        <v>131</v>
      </c>
      <c r="D266" s="243" t="s">
        <v>477</v>
      </c>
      <c r="E266" s="242" t="s">
        <v>478</v>
      </c>
      <c r="F266" s="244" t="s">
        <v>464</v>
      </c>
      <c r="G266" s="245">
        <v>80</v>
      </c>
      <c r="H266" s="246">
        <v>4.5</v>
      </c>
      <c r="I266" s="172">
        <f t="shared" si="63"/>
        <v>360</v>
      </c>
      <c r="J266" s="173"/>
      <c r="K266" s="174"/>
      <c r="L266" s="175"/>
      <c r="M266" s="176"/>
      <c r="N266" s="177"/>
      <c r="O266" s="177"/>
      <c r="P266" s="177"/>
      <c r="Q266" s="177"/>
      <c r="R266" s="177"/>
      <c r="S266" s="178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Q266" s="181"/>
      <c r="AS266" s="181"/>
      <c r="AT266" s="181"/>
      <c r="AX266" s="182"/>
      <c r="BD266" s="183"/>
      <c r="BE266" s="183"/>
      <c r="BF266" s="183"/>
      <c r="BG266" s="183"/>
      <c r="BH266" s="183"/>
      <c r="BI266" s="182"/>
      <c r="BJ266" s="183"/>
      <c r="BK266" s="182"/>
      <c r="BL266" s="181"/>
    </row>
    <row r="267" spans="1:64" s="180" customFormat="1" ht="24" customHeight="1">
      <c r="A267" s="166"/>
      <c r="B267" s="242">
        <f t="shared" si="64"/>
        <v>117</v>
      </c>
      <c r="C267" s="255" t="s">
        <v>131</v>
      </c>
      <c r="D267" s="256">
        <v>767995403</v>
      </c>
      <c r="E267" s="255" t="s">
        <v>479</v>
      </c>
      <c r="F267" s="257" t="s">
        <v>134</v>
      </c>
      <c r="G267" s="258">
        <v>1</v>
      </c>
      <c r="H267" s="255">
        <v>133.72</v>
      </c>
      <c r="I267" s="255">
        <v>267.44</v>
      </c>
      <c r="J267" s="173"/>
      <c r="K267" s="174"/>
      <c r="L267" s="175"/>
      <c r="M267" s="176"/>
      <c r="N267" s="177"/>
      <c r="O267" s="177"/>
      <c r="P267" s="177"/>
      <c r="Q267" s="177"/>
      <c r="R267" s="177"/>
      <c r="S267" s="178"/>
      <c r="T267" s="179"/>
      <c r="U267" s="179"/>
      <c r="V267" s="179"/>
      <c r="W267" s="179"/>
      <c r="X267" s="179"/>
      <c r="Y267" s="179"/>
      <c r="Z267" s="179"/>
      <c r="AA267" s="179"/>
      <c r="AB267" s="179"/>
      <c r="AC267" s="179"/>
      <c r="AD267" s="179"/>
      <c r="AQ267" s="181"/>
      <c r="AS267" s="181"/>
      <c r="AT267" s="181"/>
      <c r="AX267" s="182"/>
      <c r="BD267" s="183"/>
      <c r="BE267" s="183"/>
      <c r="BF267" s="183"/>
      <c r="BG267" s="183"/>
      <c r="BH267" s="183"/>
      <c r="BI267" s="182"/>
      <c r="BJ267" s="183"/>
      <c r="BK267" s="182"/>
      <c r="BL267" s="181"/>
    </row>
    <row r="268" spans="1:62" s="260" customFormat="1" ht="25.5" customHeight="1">
      <c r="A268" s="259"/>
      <c r="C268" s="261" t="s">
        <v>72</v>
      </c>
      <c r="D268" s="262" t="s">
        <v>480</v>
      </c>
      <c r="E268" s="262" t="s">
        <v>481</v>
      </c>
      <c r="I268" s="263">
        <f>BJ268</f>
        <v>800</v>
      </c>
      <c r="K268" s="259"/>
      <c r="L268" s="264"/>
      <c r="M268" s="265"/>
      <c r="N268" s="265"/>
      <c r="O268" s="266">
        <f>O269</f>
        <v>0</v>
      </c>
      <c r="P268" s="265"/>
      <c r="Q268" s="266">
        <f>Q269</f>
        <v>0</v>
      </c>
      <c r="R268" s="265"/>
      <c r="S268" s="267">
        <f>S269</f>
        <v>0</v>
      </c>
      <c r="AQ268" s="261" t="s">
        <v>135</v>
      </c>
      <c r="AS268" s="268" t="s">
        <v>72</v>
      </c>
      <c r="AT268" s="268" t="s">
        <v>73</v>
      </c>
      <c r="AX268" s="261" t="s">
        <v>129</v>
      </c>
      <c r="BJ268" s="269">
        <f>BJ269</f>
        <v>800</v>
      </c>
    </row>
    <row r="269" spans="1:64" s="180" customFormat="1" ht="21.75" customHeight="1">
      <c r="A269" s="166"/>
      <c r="B269" s="167">
        <f>B267+1</f>
        <v>118</v>
      </c>
      <c r="C269" s="167" t="s">
        <v>131</v>
      </c>
      <c r="D269" s="168" t="s">
        <v>482</v>
      </c>
      <c r="E269" s="169" t="s">
        <v>483</v>
      </c>
      <c r="F269" s="170" t="s">
        <v>484</v>
      </c>
      <c r="G269" s="171">
        <v>1</v>
      </c>
      <c r="H269" s="172">
        <v>800</v>
      </c>
      <c r="I269" s="172">
        <f>ROUND(H269*G269,2)</f>
        <v>800</v>
      </c>
      <c r="J269" s="173"/>
      <c r="K269" s="174"/>
      <c r="L269" s="270"/>
      <c r="M269" s="271" t="s">
        <v>39</v>
      </c>
      <c r="N269" s="272">
        <v>0</v>
      </c>
      <c r="O269" s="272">
        <f>N269*G269</f>
        <v>0</v>
      </c>
      <c r="P269" s="272">
        <v>0</v>
      </c>
      <c r="Q269" s="272">
        <f>P269*G269</f>
        <v>0</v>
      </c>
      <c r="R269" s="272">
        <v>0</v>
      </c>
      <c r="S269" s="273">
        <f>R269*G269</f>
        <v>0</v>
      </c>
      <c r="T269" s="179"/>
      <c r="U269" s="179"/>
      <c r="V269" s="179"/>
      <c r="W269" s="179"/>
      <c r="X269" s="179"/>
      <c r="Y269" s="179"/>
      <c r="Z269" s="179"/>
      <c r="AA269" s="179"/>
      <c r="AB269" s="179"/>
      <c r="AC269" s="179"/>
      <c r="AD269" s="179"/>
      <c r="AQ269" s="181" t="s">
        <v>485</v>
      </c>
      <c r="AS269" s="181" t="s">
        <v>131</v>
      </c>
      <c r="AT269" s="181" t="s">
        <v>80</v>
      </c>
      <c r="AX269" s="182" t="s">
        <v>129</v>
      </c>
      <c r="BD269" s="183">
        <f>IF(M269="základná",I269,0)</f>
        <v>0</v>
      </c>
      <c r="BE269" s="183">
        <f>IF(M269="znížená",I269,0)</f>
        <v>800</v>
      </c>
      <c r="BF269" s="183">
        <f>IF(M269="zákl. prenesená",I269,0)</f>
        <v>0</v>
      </c>
      <c r="BG269" s="183">
        <f>IF(M269="zníž. prenesená",I269,0)</f>
        <v>0</v>
      </c>
      <c r="BH269" s="183">
        <f>IF(M269="nulová",I269,0)</f>
        <v>0</v>
      </c>
      <c r="BI269" s="182" t="s">
        <v>136</v>
      </c>
      <c r="BJ269" s="183">
        <f>ROUND(H269*G269,2)</f>
        <v>800</v>
      </c>
      <c r="BK269" s="182" t="s">
        <v>485</v>
      </c>
      <c r="BL269" s="181" t="s">
        <v>486</v>
      </c>
    </row>
    <row r="270" spans="1:30" s="25" customFormat="1" ht="6.75" customHeight="1">
      <c r="A270" s="42"/>
      <c r="B270" s="43"/>
      <c r="C270" s="43"/>
      <c r="D270" s="43"/>
      <c r="E270" s="43"/>
      <c r="F270" s="43"/>
      <c r="G270" s="43"/>
      <c r="H270" s="43"/>
      <c r="I270" s="43"/>
      <c r="J270" s="43"/>
      <c r="K270" s="24"/>
      <c r="L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2" spans="2:9" s="274" customFormat="1" ht="15.75">
      <c r="B272" s="145"/>
      <c r="C272" s="146" t="s">
        <v>487</v>
      </c>
      <c r="D272" s="147" t="s">
        <v>127</v>
      </c>
      <c r="E272" s="147" t="s">
        <v>488</v>
      </c>
      <c r="F272" s="145"/>
      <c r="G272" s="145"/>
      <c r="H272" s="145"/>
      <c r="I272" s="148">
        <f>I273+I287+I326</f>
        <v>281253.21</v>
      </c>
    </row>
    <row r="273" spans="2:9" ht="12.75">
      <c r="B273" s="156"/>
      <c r="C273" s="157" t="s">
        <v>487</v>
      </c>
      <c r="D273" s="158" t="s">
        <v>80</v>
      </c>
      <c r="E273" s="158" t="s">
        <v>489</v>
      </c>
      <c r="F273" s="156"/>
      <c r="G273" s="156"/>
      <c r="H273" s="156"/>
      <c r="I273" s="159">
        <f>SUM(I274:I285)</f>
        <v>6724.46</v>
      </c>
    </row>
    <row r="274" spans="2:9" s="275" customFormat="1" ht="48">
      <c r="B274" s="167">
        <f>B269+1</f>
        <v>119</v>
      </c>
      <c r="C274" s="167" t="s">
        <v>131</v>
      </c>
      <c r="D274" s="168" t="s">
        <v>490</v>
      </c>
      <c r="E274" s="169" t="s">
        <v>491</v>
      </c>
      <c r="F274" s="170" t="s">
        <v>172</v>
      </c>
      <c r="G274" s="171">
        <v>165</v>
      </c>
      <c r="H274" s="172">
        <v>6.1</v>
      </c>
      <c r="I274" s="172">
        <f>ROUND(H274*G274,2)</f>
        <v>1006.5</v>
      </c>
    </row>
    <row r="275" spans="2:9" s="275" customFormat="1" ht="11.25">
      <c r="B275" s="180"/>
      <c r="C275" s="276" t="s">
        <v>492</v>
      </c>
      <c r="D275" s="180"/>
      <c r="E275" s="277" t="s">
        <v>493</v>
      </c>
      <c r="F275" s="180"/>
      <c r="G275" s="180"/>
      <c r="H275" s="180"/>
      <c r="I275" s="180"/>
    </row>
    <row r="276" spans="2:9" s="275" customFormat="1" ht="24">
      <c r="B276" s="167">
        <f>B274+1</f>
        <v>120</v>
      </c>
      <c r="C276" s="167" t="s">
        <v>131</v>
      </c>
      <c r="D276" s="168" t="s">
        <v>494</v>
      </c>
      <c r="E276" s="169" t="s">
        <v>495</v>
      </c>
      <c r="F276" s="170" t="s">
        <v>182</v>
      </c>
      <c r="G276" s="171">
        <v>12.8</v>
      </c>
      <c r="H276" s="172">
        <v>59.9</v>
      </c>
      <c r="I276" s="172">
        <f>ROUND(H276*G276,2)</f>
        <v>766.72</v>
      </c>
    </row>
    <row r="277" spans="2:9" s="275" customFormat="1" ht="19.5">
      <c r="B277" s="180"/>
      <c r="C277" s="276" t="s">
        <v>492</v>
      </c>
      <c r="D277" s="180"/>
      <c r="E277" s="277" t="s">
        <v>496</v>
      </c>
      <c r="F277" s="180"/>
      <c r="G277" s="180"/>
      <c r="H277" s="180"/>
      <c r="I277" s="180"/>
    </row>
    <row r="278" spans="2:9" s="275" customFormat="1" ht="12">
      <c r="B278" s="167">
        <f>B276+1</f>
        <v>121</v>
      </c>
      <c r="C278" s="167" t="s">
        <v>131</v>
      </c>
      <c r="D278" s="168" t="s">
        <v>497</v>
      </c>
      <c r="E278" s="169" t="s">
        <v>498</v>
      </c>
      <c r="F278" s="170" t="s">
        <v>182</v>
      </c>
      <c r="G278" s="171">
        <f>G276+(G274*0.2)</f>
        <v>45.8</v>
      </c>
      <c r="H278" s="172">
        <v>5.4</v>
      </c>
      <c r="I278" s="172">
        <f>ROUND(H278*G278,2)</f>
        <v>247.32</v>
      </c>
    </row>
    <row r="279" spans="2:9" s="275" customFormat="1" ht="11.25">
      <c r="B279" s="180"/>
      <c r="C279" s="276" t="s">
        <v>492</v>
      </c>
      <c r="D279" s="180"/>
      <c r="E279" s="277" t="s">
        <v>498</v>
      </c>
      <c r="F279" s="180"/>
      <c r="G279" s="180"/>
      <c r="H279" s="180"/>
      <c r="I279" s="180"/>
    </row>
    <row r="280" spans="2:9" s="275" customFormat="1" ht="24">
      <c r="B280" s="167">
        <f>B278+1</f>
        <v>122</v>
      </c>
      <c r="C280" s="167" t="s">
        <v>131</v>
      </c>
      <c r="D280" s="168" t="s">
        <v>499</v>
      </c>
      <c r="E280" s="169" t="s">
        <v>500</v>
      </c>
      <c r="F280" s="170" t="s">
        <v>182</v>
      </c>
      <c r="G280" s="171">
        <f>G278</f>
        <v>45.8</v>
      </c>
      <c r="H280" s="172">
        <v>3.9</v>
      </c>
      <c r="I280" s="172">
        <f>ROUND(H280*G280,2)</f>
        <v>178.62</v>
      </c>
    </row>
    <row r="281" spans="2:9" s="275" customFormat="1" ht="11.25">
      <c r="B281" s="180"/>
      <c r="C281" s="276" t="s">
        <v>492</v>
      </c>
      <c r="D281" s="180"/>
      <c r="E281" s="277" t="s">
        <v>500</v>
      </c>
      <c r="F281" s="180"/>
      <c r="G281" s="180"/>
      <c r="H281" s="180"/>
      <c r="I281" s="180"/>
    </row>
    <row r="282" spans="2:9" s="275" customFormat="1" ht="36">
      <c r="B282" s="167">
        <f>B280+1</f>
        <v>123</v>
      </c>
      <c r="C282" s="167" t="s">
        <v>131</v>
      </c>
      <c r="D282" s="168" t="s">
        <v>501</v>
      </c>
      <c r="E282" s="169" t="s">
        <v>502</v>
      </c>
      <c r="F282" s="170" t="s">
        <v>196</v>
      </c>
      <c r="G282" s="171">
        <f>G280*1.8</f>
        <v>82.44</v>
      </c>
      <c r="H282" s="172">
        <v>12.4</v>
      </c>
      <c r="I282" s="172">
        <f>ROUND(H282*G282,2)</f>
        <v>1022.26</v>
      </c>
    </row>
    <row r="283" spans="2:9" s="275" customFormat="1" ht="31.5" customHeight="1">
      <c r="B283" s="180"/>
      <c r="C283" s="276" t="s">
        <v>492</v>
      </c>
      <c r="D283" s="180"/>
      <c r="E283" s="277" t="s">
        <v>503</v>
      </c>
      <c r="F283" s="180"/>
      <c r="G283" s="180"/>
      <c r="H283" s="180"/>
      <c r="I283" s="180"/>
    </row>
    <row r="284" spans="2:9" s="275" customFormat="1" ht="24" customHeight="1">
      <c r="B284" s="167">
        <f>B282+1</f>
        <v>124</v>
      </c>
      <c r="C284" s="167" t="s">
        <v>131</v>
      </c>
      <c r="D284" s="242" t="s">
        <v>504</v>
      </c>
      <c r="E284" s="242" t="s">
        <v>505</v>
      </c>
      <c r="F284" s="170" t="s">
        <v>182</v>
      </c>
      <c r="G284" s="171">
        <v>24</v>
      </c>
      <c r="H284" s="172">
        <v>5.96</v>
      </c>
      <c r="I284" s="172">
        <f>ROUND(H284*G284,2)</f>
        <v>143.04</v>
      </c>
    </row>
    <row r="285" spans="2:9" s="278" customFormat="1" ht="23.25" customHeight="1">
      <c r="B285" s="279">
        <f>B284+1</f>
        <v>125</v>
      </c>
      <c r="C285" s="279" t="s">
        <v>193</v>
      </c>
      <c r="D285" s="280" t="s">
        <v>506</v>
      </c>
      <c r="E285" s="280" t="s">
        <v>507</v>
      </c>
      <c r="F285" s="281" t="s">
        <v>182</v>
      </c>
      <c r="G285" s="282">
        <v>24</v>
      </c>
      <c r="H285" s="283">
        <v>140</v>
      </c>
      <c r="I285" s="283">
        <f>ROUND(H285*G285,2)</f>
        <v>3360</v>
      </c>
    </row>
    <row r="286" spans="2:9" s="278" customFormat="1" ht="23.25" customHeight="1">
      <c r="B286" s="284"/>
      <c r="C286" s="284"/>
      <c r="D286" s="285"/>
      <c r="E286" s="285"/>
      <c r="F286" s="286"/>
      <c r="G286" s="287"/>
      <c r="H286" s="288"/>
      <c r="I286" s="288"/>
    </row>
    <row r="287" spans="2:9" s="275" customFormat="1" ht="15">
      <c r="B287" s="196"/>
      <c r="C287" s="197" t="s">
        <v>487</v>
      </c>
      <c r="D287" s="289" t="s">
        <v>193</v>
      </c>
      <c r="E287" s="289" t="s">
        <v>508</v>
      </c>
      <c r="F287" s="196"/>
      <c r="G287" s="196"/>
      <c r="H287" s="196"/>
      <c r="I287" s="290">
        <f>SUM(I288:I325)</f>
        <v>273538.75</v>
      </c>
    </row>
    <row r="288" spans="2:9" s="275" customFormat="1" ht="12">
      <c r="B288" s="167">
        <f>B285+1</f>
        <v>126</v>
      </c>
      <c r="C288" s="167" t="s">
        <v>131</v>
      </c>
      <c r="D288" s="168" t="s">
        <v>509</v>
      </c>
      <c r="E288" s="169" t="s">
        <v>510</v>
      </c>
      <c r="F288" s="170" t="s">
        <v>182</v>
      </c>
      <c r="G288" s="171">
        <f>G276</f>
        <v>12.8</v>
      </c>
      <c r="H288" s="172">
        <v>155</v>
      </c>
      <c r="I288" s="172">
        <f>ROUND(H288*G288,2)</f>
        <v>1984</v>
      </c>
    </row>
    <row r="289" spans="2:9" s="275" customFormat="1" ht="11.25">
      <c r="B289" s="179"/>
      <c r="C289" s="276" t="s">
        <v>492</v>
      </c>
      <c r="D289" s="179"/>
      <c r="E289" s="277" t="s">
        <v>511</v>
      </c>
      <c r="F289" s="179"/>
      <c r="G289" s="179"/>
      <c r="H289" s="179"/>
      <c r="I289" s="179"/>
    </row>
    <row r="290" spans="2:9" s="275" customFormat="1" ht="24">
      <c r="B290" s="167">
        <f>B288+1</f>
        <v>127</v>
      </c>
      <c r="C290" s="167" t="s">
        <v>131</v>
      </c>
      <c r="D290" s="168" t="s">
        <v>512</v>
      </c>
      <c r="E290" s="169" t="s">
        <v>513</v>
      </c>
      <c r="F290" s="170" t="s">
        <v>134</v>
      </c>
      <c r="G290" s="171">
        <v>1</v>
      </c>
      <c r="H290" s="172">
        <v>29730</v>
      </c>
      <c r="I290" s="172">
        <f>ROUND(H290*G290,2)</f>
        <v>29730</v>
      </c>
    </row>
    <row r="291" spans="2:9" s="275" customFormat="1" ht="19.5">
      <c r="B291" s="179"/>
      <c r="C291" s="276" t="s">
        <v>492</v>
      </c>
      <c r="D291" s="179"/>
      <c r="E291" s="277" t="s">
        <v>514</v>
      </c>
      <c r="F291" s="179"/>
      <c r="G291" s="179"/>
      <c r="H291" s="179"/>
      <c r="I291" s="179"/>
    </row>
    <row r="292" spans="2:9" s="275" customFormat="1" ht="24">
      <c r="B292" s="167">
        <f>B290+1</f>
        <v>128</v>
      </c>
      <c r="C292" s="167" t="s">
        <v>131</v>
      </c>
      <c r="D292" s="168" t="s">
        <v>515</v>
      </c>
      <c r="E292" s="169" t="s">
        <v>514</v>
      </c>
      <c r="F292" s="170" t="s">
        <v>134</v>
      </c>
      <c r="G292" s="171">
        <v>1</v>
      </c>
      <c r="H292" s="172">
        <v>1022</v>
      </c>
      <c r="I292" s="172">
        <f>ROUND(H292*G292,2)</f>
        <v>1022</v>
      </c>
    </row>
    <row r="293" spans="2:9" s="275" customFormat="1" ht="19.5">
      <c r="B293" s="179"/>
      <c r="C293" s="276" t="s">
        <v>492</v>
      </c>
      <c r="D293" s="179"/>
      <c r="E293" s="277" t="s">
        <v>514</v>
      </c>
      <c r="F293" s="179"/>
      <c r="G293" s="179"/>
      <c r="H293" s="179"/>
      <c r="I293" s="179"/>
    </row>
    <row r="294" spans="2:9" s="275" customFormat="1" ht="24">
      <c r="B294" s="167">
        <f>B292+1</f>
        <v>129</v>
      </c>
      <c r="C294" s="167" t="s">
        <v>131</v>
      </c>
      <c r="D294" s="168" t="s">
        <v>516</v>
      </c>
      <c r="E294" s="169" t="s">
        <v>517</v>
      </c>
      <c r="F294" s="170" t="s">
        <v>134</v>
      </c>
      <c r="G294" s="171">
        <v>1</v>
      </c>
      <c r="H294" s="172">
        <v>1330</v>
      </c>
      <c r="I294" s="172">
        <f>ROUND(H294*G294,2)</f>
        <v>1330</v>
      </c>
    </row>
    <row r="295" spans="2:9" s="275" customFormat="1" ht="19.5">
      <c r="B295" s="179"/>
      <c r="C295" s="276" t="s">
        <v>492</v>
      </c>
      <c r="D295" s="179"/>
      <c r="E295" s="277" t="s">
        <v>514</v>
      </c>
      <c r="F295" s="179"/>
      <c r="G295" s="179"/>
      <c r="H295" s="179"/>
      <c r="I295" s="179"/>
    </row>
    <row r="296" spans="2:9" s="275" customFormat="1" ht="24">
      <c r="B296" s="167">
        <f>B294+1</f>
        <v>130</v>
      </c>
      <c r="C296" s="167" t="s">
        <v>131</v>
      </c>
      <c r="D296" s="168" t="s">
        <v>518</v>
      </c>
      <c r="E296" s="169" t="s">
        <v>519</v>
      </c>
      <c r="F296" s="170" t="s">
        <v>134</v>
      </c>
      <c r="G296" s="171">
        <v>3</v>
      </c>
      <c r="H296" s="172">
        <v>2797</v>
      </c>
      <c r="I296" s="172">
        <f>ROUND(H296*G296,2)</f>
        <v>8391</v>
      </c>
    </row>
    <row r="297" spans="2:9" s="275" customFormat="1" ht="19.5">
      <c r="B297" s="179"/>
      <c r="C297" s="276" t="s">
        <v>492</v>
      </c>
      <c r="D297" s="179"/>
      <c r="E297" s="277" t="s">
        <v>519</v>
      </c>
      <c r="F297" s="179"/>
      <c r="G297" s="179"/>
      <c r="H297" s="179"/>
      <c r="I297" s="179"/>
    </row>
    <row r="298" spans="2:9" s="275" customFormat="1" ht="24">
      <c r="B298" s="167">
        <f>B296+1</f>
        <v>131</v>
      </c>
      <c r="C298" s="167" t="s">
        <v>131</v>
      </c>
      <c r="D298" s="168" t="s">
        <v>518</v>
      </c>
      <c r="E298" s="169" t="s">
        <v>520</v>
      </c>
      <c r="F298" s="170" t="s">
        <v>134</v>
      </c>
      <c r="G298" s="171">
        <v>3</v>
      </c>
      <c r="H298" s="172">
        <v>1175</v>
      </c>
      <c r="I298" s="172">
        <f>ROUND(H298*G298,2)</f>
        <v>3525</v>
      </c>
    </row>
    <row r="299" spans="2:9" s="275" customFormat="1" ht="19.5">
      <c r="B299" s="179"/>
      <c r="C299" s="276" t="s">
        <v>492</v>
      </c>
      <c r="D299" s="179"/>
      <c r="E299" s="277" t="s">
        <v>521</v>
      </c>
      <c r="F299" s="179"/>
      <c r="G299" s="179"/>
      <c r="H299" s="179"/>
      <c r="I299" s="179"/>
    </row>
    <row r="300" spans="2:9" s="275" customFormat="1" ht="24">
      <c r="B300" s="167">
        <f>B298+1</f>
        <v>132</v>
      </c>
      <c r="C300" s="167" t="s">
        <v>131</v>
      </c>
      <c r="D300" s="168" t="s">
        <v>518</v>
      </c>
      <c r="E300" s="169" t="s">
        <v>522</v>
      </c>
      <c r="F300" s="170" t="s">
        <v>134</v>
      </c>
      <c r="G300" s="171">
        <v>6</v>
      </c>
      <c r="H300" s="172">
        <v>995</v>
      </c>
      <c r="I300" s="172">
        <f>ROUND(H300*G300,2)</f>
        <v>5970</v>
      </c>
    </row>
    <row r="301" spans="2:9" s="275" customFormat="1" ht="19.5">
      <c r="B301" s="179"/>
      <c r="C301" s="276" t="s">
        <v>492</v>
      </c>
      <c r="D301" s="179"/>
      <c r="E301" s="277" t="s">
        <v>522</v>
      </c>
      <c r="F301" s="179"/>
      <c r="G301" s="179"/>
      <c r="H301" s="179"/>
      <c r="I301" s="179"/>
    </row>
    <row r="302" spans="2:9" s="275" customFormat="1" ht="24">
      <c r="B302" s="167">
        <f>B300+1</f>
        <v>133</v>
      </c>
      <c r="C302" s="167" t="s">
        <v>131</v>
      </c>
      <c r="D302" s="168" t="s">
        <v>523</v>
      </c>
      <c r="E302" s="169" t="s">
        <v>524</v>
      </c>
      <c r="F302" s="170" t="s">
        <v>134</v>
      </c>
      <c r="G302" s="171">
        <v>3</v>
      </c>
      <c r="H302" s="172">
        <v>9370</v>
      </c>
      <c r="I302" s="172">
        <f>ROUND(H302*G302,2)</f>
        <v>28110</v>
      </c>
    </row>
    <row r="303" spans="2:9" s="275" customFormat="1" ht="19.5">
      <c r="B303" s="179"/>
      <c r="C303" s="276" t="s">
        <v>492</v>
      </c>
      <c r="D303" s="179"/>
      <c r="E303" s="277" t="s">
        <v>525</v>
      </c>
      <c r="F303" s="179"/>
      <c r="G303" s="179"/>
      <c r="H303" s="179"/>
      <c r="I303" s="179"/>
    </row>
    <row r="304" spans="2:9" s="275" customFormat="1" ht="12">
      <c r="B304" s="167">
        <f>B302+1</f>
        <v>134</v>
      </c>
      <c r="C304" s="167" t="s">
        <v>131</v>
      </c>
      <c r="D304" s="168" t="s">
        <v>526</v>
      </c>
      <c r="E304" s="169" t="s">
        <v>527</v>
      </c>
      <c r="F304" s="170" t="s">
        <v>134</v>
      </c>
      <c r="G304" s="171">
        <v>2</v>
      </c>
      <c r="H304" s="172">
        <v>3192</v>
      </c>
      <c r="I304" s="172">
        <f>ROUND(H304*G304,2)</f>
        <v>6384</v>
      </c>
    </row>
    <row r="305" spans="2:9" s="275" customFormat="1" ht="11.25">
      <c r="B305" s="179"/>
      <c r="C305" s="276" t="s">
        <v>492</v>
      </c>
      <c r="D305" s="179"/>
      <c r="E305" s="277" t="s">
        <v>527</v>
      </c>
      <c r="F305" s="179"/>
      <c r="G305" s="179"/>
      <c r="H305" s="179"/>
      <c r="I305" s="179"/>
    </row>
    <row r="306" spans="2:9" s="275" customFormat="1" ht="24">
      <c r="B306" s="167">
        <f>B304+1</f>
        <v>135</v>
      </c>
      <c r="C306" s="167" t="s">
        <v>131</v>
      </c>
      <c r="D306" s="168" t="s">
        <v>528</v>
      </c>
      <c r="E306" s="169" t="s">
        <v>529</v>
      </c>
      <c r="F306" s="170" t="s">
        <v>134</v>
      </c>
      <c r="G306" s="171">
        <v>3</v>
      </c>
      <c r="H306" s="172">
        <v>3648</v>
      </c>
      <c r="I306" s="172">
        <f>ROUND(H306*G306,2)</f>
        <v>10944</v>
      </c>
    </row>
    <row r="307" spans="2:9" s="275" customFormat="1" ht="19.5">
      <c r="B307" s="179"/>
      <c r="C307" s="276" t="s">
        <v>492</v>
      </c>
      <c r="D307" s="179"/>
      <c r="E307" s="277" t="s">
        <v>529</v>
      </c>
      <c r="F307" s="179"/>
      <c r="G307" s="179"/>
      <c r="H307" s="179"/>
      <c r="I307" s="179"/>
    </row>
    <row r="308" spans="2:9" s="275" customFormat="1" ht="24">
      <c r="B308" s="167">
        <f>B306+1</f>
        <v>136</v>
      </c>
      <c r="C308" s="167" t="s">
        <v>131</v>
      </c>
      <c r="D308" s="168" t="s">
        <v>530</v>
      </c>
      <c r="E308" s="169" t="s">
        <v>531</v>
      </c>
      <c r="F308" s="170" t="s">
        <v>134</v>
      </c>
      <c r="G308" s="171">
        <v>1</v>
      </c>
      <c r="H308" s="172">
        <v>58320</v>
      </c>
      <c r="I308" s="172">
        <f>ROUND(H308*G308,2)</f>
        <v>58320</v>
      </c>
    </row>
    <row r="309" spans="2:9" s="275" customFormat="1" ht="19.5">
      <c r="B309" s="179"/>
      <c r="C309" s="276" t="s">
        <v>492</v>
      </c>
      <c r="D309" s="179"/>
      <c r="E309" s="277" t="s">
        <v>531</v>
      </c>
      <c r="F309" s="179"/>
      <c r="G309" s="179"/>
      <c r="H309" s="179"/>
      <c r="I309" s="179"/>
    </row>
    <row r="310" spans="2:9" s="275" customFormat="1" ht="24">
      <c r="B310" s="167">
        <f>B308+1</f>
        <v>137</v>
      </c>
      <c r="C310" s="167" t="s">
        <v>131</v>
      </c>
      <c r="D310" s="168" t="s">
        <v>532</v>
      </c>
      <c r="E310" s="169" t="s">
        <v>533</v>
      </c>
      <c r="F310" s="170" t="s">
        <v>134</v>
      </c>
      <c r="G310" s="171">
        <v>1</v>
      </c>
      <c r="H310" s="172">
        <v>12001</v>
      </c>
      <c r="I310" s="172">
        <f>ROUND(H310*G310,2)</f>
        <v>12001</v>
      </c>
    </row>
    <row r="311" spans="2:9" s="275" customFormat="1" ht="19.5">
      <c r="B311" s="179"/>
      <c r="C311" s="276" t="s">
        <v>492</v>
      </c>
      <c r="D311" s="179"/>
      <c r="E311" s="277" t="s">
        <v>533</v>
      </c>
      <c r="F311" s="179"/>
      <c r="G311" s="179"/>
      <c r="H311" s="179"/>
      <c r="I311" s="179"/>
    </row>
    <row r="312" spans="2:9" s="275" customFormat="1" ht="24">
      <c r="B312" s="167">
        <f>B310+1</f>
        <v>138</v>
      </c>
      <c r="C312" s="167" t="s">
        <v>131</v>
      </c>
      <c r="D312" s="168" t="s">
        <v>534</v>
      </c>
      <c r="E312" s="169" t="s">
        <v>535</v>
      </c>
      <c r="F312" s="170" t="s">
        <v>134</v>
      </c>
      <c r="G312" s="171">
        <v>2</v>
      </c>
      <c r="H312" s="172">
        <v>1470</v>
      </c>
      <c r="I312" s="172">
        <f>ROUND(H312*G312,2)</f>
        <v>2940</v>
      </c>
    </row>
    <row r="313" spans="2:9" s="275" customFormat="1" ht="19.5">
      <c r="B313" s="179"/>
      <c r="C313" s="276" t="s">
        <v>492</v>
      </c>
      <c r="D313" s="179"/>
      <c r="E313" s="277" t="s">
        <v>535</v>
      </c>
      <c r="F313" s="179"/>
      <c r="G313" s="179"/>
      <c r="H313" s="179"/>
      <c r="I313" s="179"/>
    </row>
    <row r="314" spans="2:9" s="275" customFormat="1" ht="24">
      <c r="B314" s="167">
        <f>B312+1</f>
        <v>139</v>
      </c>
      <c r="C314" s="167" t="s">
        <v>131</v>
      </c>
      <c r="D314" s="168" t="s">
        <v>536</v>
      </c>
      <c r="E314" s="169" t="s">
        <v>537</v>
      </c>
      <c r="F314" s="170" t="s">
        <v>134</v>
      </c>
      <c r="G314" s="171">
        <v>2</v>
      </c>
      <c r="H314" s="172">
        <v>1501</v>
      </c>
      <c r="I314" s="172">
        <f>ROUND(H314*G314,2)</f>
        <v>3002</v>
      </c>
    </row>
    <row r="315" spans="2:9" s="275" customFormat="1" ht="11.25">
      <c r="B315" s="179"/>
      <c r="C315" s="276" t="s">
        <v>492</v>
      </c>
      <c r="D315" s="179"/>
      <c r="E315" s="277" t="s">
        <v>537</v>
      </c>
      <c r="F315" s="179"/>
      <c r="G315" s="179"/>
      <c r="H315" s="179"/>
      <c r="I315" s="179"/>
    </row>
    <row r="316" spans="2:9" s="275" customFormat="1" ht="24">
      <c r="B316" s="167">
        <f>B314+1</f>
        <v>140</v>
      </c>
      <c r="C316" s="167" t="s">
        <v>131</v>
      </c>
      <c r="D316" s="168" t="s">
        <v>538</v>
      </c>
      <c r="E316" s="169" t="s">
        <v>539</v>
      </c>
      <c r="F316" s="170" t="s">
        <v>134</v>
      </c>
      <c r="G316" s="171">
        <v>3</v>
      </c>
      <c r="H316" s="172">
        <v>2285</v>
      </c>
      <c r="I316" s="172">
        <f>ROUND(H316*G316,2)</f>
        <v>6855</v>
      </c>
    </row>
    <row r="317" spans="2:9" s="275" customFormat="1" ht="19.5">
      <c r="B317" s="179"/>
      <c r="C317" s="276" t="s">
        <v>492</v>
      </c>
      <c r="D317" s="179"/>
      <c r="E317" s="277" t="s">
        <v>540</v>
      </c>
      <c r="F317" s="179"/>
      <c r="G317" s="179"/>
      <c r="H317" s="179"/>
      <c r="I317" s="179"/>
    </row>
    <row r="318" spans="2:9" s="275" customFormat="1" ht="24">
      <c r="B318" s="167">
        <f>B316+1</f>
        <v>141</v>
      </c>
      <c r="C318" s="167" t="s">
        <v>131</v>
      </c>
      <c r="D318" s="168" t="s">
        <v>541</v>
      </c>
      <c r="E318" s="169" t="s">
        <v>542</v>
      </c>
      <c r="F318" s="170" t="s">
        <v>134</v>
      </c>
      <c r="G318" s="171">
        <v>1</v>
      </c>
      <c r="H318" s="172">
        <v>6571</v>
      </c>
      <c r="I318" s="172">
        <f>ROUND(H318*G318,2)</f>
        <v>6571</v>
      </c>
    </row>
    <row r="319" spans="2:9" s="275" customFormat="1" ht="11.25">
      <c r="B319" s="179"/>
      <c r="C319" s="276" t="s">
        <v>492</v>
      </c>
      <c r="D319" s="179"/>
      <c r="E319" s="277" t="s">
        <v>542</v>
      </c>
      <c r="F319" s="179"/>
      <c r="G319" s="179"/>
      <c r="H319" s="179"/>
      <c r="I319" s="179"/>
    </row>
    <row r="320" spans="2:9" s="275" customFormat="1" ht="24">
      <c r="B320" s="167">
        <f>B318+1</f>
        <v>142</v>
      </c>
      <c r="C320" s="167" t="s">
        <v>131</v>
      </c>
      <c r="D320" s="168" t="s">
        <v>543</v>
      </c>
      <c r="E320" s="169" t="s">
        <v>544</v>
      </c>
      <c r="F320" s="170" t="s">
        <v>134</v>
      </c>
      <c r="G320" s="171">
        <v>1</v>
      </c>
      <c r="H320" s="172">
        <v>1081</v>
      </c>
      <c r="I320" s="172">
        <f>ROUND(H320*G320,2)</f>
        <v>1081</v>
      </c>
    </row>
    <row r="321" spans="2:9" s="275" customFormat="1" ht="11.25">
      <c r="B321" s="179"/>
      <c r="C321" s="276" t="s">
        <v>492</v>
      </c>
      <c r="D321" s="179"/>
      <c r="E321" s="277" t="s">
        <v>544</v>
      </c>
      <c r="F321" s="179"/>
      <c r="G321" s="179"/>
      <c r="H321" s="179"/>
      <c r="I321" s="179"/>
    </row>
    <row r="322" spans="2:9" s="275" customFormat="1" ht="36">
      <c r="B322" s="167">
        <f>B320+1</f>
        <v>143</v>
      </c>
      <c r="C322" s="167" t="s">
        <v>131</v>
      </c>
      <c r="D322" s="168" t="s">
        <v>545</v>
      </c>
      <c r="E322" s="169" t="s">
        <v>546</v>
      </c>
      <c r="F322" s="170" t="s">
        <v>172</v>
      </c>
      <c r="G322" s="171">
        <v>625</v>
      </c>
      <c r="H322" s="172">
        <v>112.83</v>
      </c>
      <c r="I322" s="172">
        <f>ROUND(H322*G322,2)</f>
        <v>70518.75</v>
      </c>
    </row>
    <row r="323" spans="2:9" s="275" customFormat="1" ht="36">
      <c r="B323" s="167">
        <f>B322+1</f>
        <v>144</v>
      </c>
      <c r="C323" s="167" t="s">
        <v>131</v>
      </c>
      <c r="D323" s="168" t="s">
        <v>547</v>
      </c>
      <c r="E323" s="169" t="s">
        <v>548</v>
      </c>
      <c r="F323" s="170" t="s">
        <v>172</v>
      </c>
      <c r="G323" s="171">
        <v>125</v>
      </c>
      <c r="H323" s="172">
        <v>71.48</v>
      </c>
      <c r="I323" s="172">
        <f>ROUND(H323*G323,2)</f>
        <v>8935</v>
      </c>
    </row>
    <row r="324" spans="2:9" s="275" customFormat="1" ht="36">
      <c r="B324" s="167">
        <f>B323+1</f>
        <v>145</v>
      </c>
      <c r="C324" s="167" t="s">
        <v>131</v>
      </c>
      <c r="D324" s="168" t="s">
        <v>549</v>
      </c>
      <c r="E324" s="169" t="s">
        <v>550</v>
      </c>
      <c r="F324" s="170" t="s">
        <v>172</v>
      </c>
      <c r="G324" s="171">
        <f>G322+G323</f>
        <v>750</v>
      </c>
      <c r="H324" s="172">
        <v>6.4</v>
      </c>
      <c r="I324" s="172">
        <f>ROUND(H324*G324,2)</f>
        <v>4800</v>
      </c>
    </row>
    <row r="325" spans="2:9" s="275" customFormat="1" ht="36">
      <c r="B325" s="167">
        <f>B324+1</f>
        <v>146</v>
      </c>
      <c r="C325" s="167" t="s">
        <v>131</v>
      </c>
      <c r="D325" s="168" t="s">
        <v>551</v>
      </c>
      <c r="E325" s="169" t="s">
        <v>552</v>
      </c>
      <c r="F325" s="170" t="s">
        <v>172</v>
      </c>
      <c r="G325" s="171">
        <f>G324</f>
        <v>750</v>
      </c>
      <c r="H325" s="172">
        <v>1.5</v>
      </c>
      <c r="I325" s="172">
        <f>ROUND(H325*G325,2)</f>
        <v>1125</v>
      </c>
    </row>
    <row r="326" spans="2:256" s="275" customFormat="1" ht="15">
      <c r="B326" s="196"/>
      <c r="C326" s="197" t="s">
        <v>487</v>
      </c>
      <c r="D326" s="289" t="s">
        <v>553</v>
      </c>
      <c r="E326" s="289" t="s">
        <v>554</v>
      </c>
      <c r="F326" s="196"/>
      <c r="G326" s="196"/>
      <c r="H326" s="196"/>
      <c r="I326" s="290">
        <f>SUM(I327:I327)</f>
        <v>990</v>
      </c>
      <c r="IV326" s="291"/>
    </row>
    <row r="327" spans="2:256" s="275" customFormat="1" ht="12.75">
      <c r="B327" s="167">
        <v>139</v>
      </c>
      <c r="C327" s="167" t="s">
        <v>131</v>
      </c>
      <c r="D327" s="168" t="s">
        <v>555</v>
      </c>
      <c r="E327" s="169" t="s">
        <v>556</v>
      </c>
      <c r="F327" s="170" t="s">
        <v>557</v>
      </c>
      <c r="G327" s="171">
        <v>1</v>
      </c>
      <c r="H327" s="172">
        <v>990</v>
      </c>
      <c r="I327" s="172">
        <f>ROUND(H327*G327,2)</f>
        <v>990</v>
      </c>
      <c r="IV327" s="291"/>
    </row>
    <row r="328" spans="2:256" s="275" customFormat="1" ht="12.75">
      <c r="B328" s="179"/>
      <c r="C328" s="276" t="s">
        <v>492</v>
      </c>
      <c r="D328" s="179"/>
      <c r="E328" s="277" t="s">
        <v>558</v>
      </c>
      <c r="F328" s="179"/>
      <c r="G328" s="179"/>
      <c r="H328" s="179"/>
      <c r="I328" s="179"/>
      <c r="IV328" s="291"/>
    </row>
    <row r="329" spans="2:256" s="275" customFormat="1" ht="12.75">
      <c r="B329" s="292"/>
      <c r="C329" s="292"/>
      <c r="D329" s="292"/>
      <c r="E329" s="292"/>
      <c r="F329" s="292"/>
      <c r="G329" s="292"/>
      <c r="H329" s="292"/>
      <c r="I329" s="292"/>
      <c r="IV329" s="291"/>
    </row>
    <row r="330" s="275" customFormat="1" ht="12.75">
      <c r="IV330" s="291"/>
    </row>
    <row r="331" s="275" customFormat="1" ht="12.75">
      <c r="IV331" s="291"/>
    </row>
    <row r="332" s="275" customFormat="1" ht="12.75">
      <c r="IV332" s="291"/>
    </row>
  </sheetData>
  <sheetProtection selectLockedCells="1" selectUnlockedCells="1"/>
  <autoFilter ref="B136:J269"/>
  <mergeCells count="8">
    <mergeCell ref="D127:G127"/>
    <mergeCell ref="D129:G129"/>
    <mergeCell ref="K2:U2"/>
    <mergeCell ref="D7:G7"/>
    <mergeCell ref="D9:G9"/>
    <mergeCell ref="D27:G27"/>
    <mergeCell ref="D85:G85"/>
    <mergeCell ref="D87:G87"/>
  </mergeCell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CE,Regular"&amp;8Strana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Mgr. Martina Klacek</cp:lastModifiedBy>
  <dcterms:modified xsi:type="dcterms:W3CDTF">2022-05-31T08:00:24Z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