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<sst xmlns="http://schemas.openxmlformats.org/spreadsheetml/2006/main" count="735" uniqueCount="293">
  <si>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</si>
  <si>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</si>
  <si>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</si>
  <si>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</si>
  <si>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</si>
  <si>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</si>
  <si>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</si>
  <si>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</si>
  <si>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</si>
  <si>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</si>
  <si>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</si>
  <si>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</si>
  <si>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</si>
  <si>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</si>
  <si>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</si>
  <si>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</si>
  <si>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</si>
  <si>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</si>
  <si>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</si>
  <si>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</si>
  <si>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</si>
  <si>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</si>
  <si>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</si>
  <si>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</si>
  <si>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</si>
  <si>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</si>
  <si>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</si>
  <si>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</si>
  <si>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</si>
  <si>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</si>
  <si>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</si>
  <si>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</si>
  <si>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</si>
  <si>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</si>
  <si>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</si>
  <si>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</si>
  <si>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</si>
  <si>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</si>
  <si>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</si>
  <si>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</si>
  <si>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</si>
  <si>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</si>
  <si>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</si>
  <si>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</si>
  <si>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</si>
  <si>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</si>
  <si>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</si>
  <si>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</si>
  <si>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</si>
  <si>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</si>
  <si>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</si>
  <si>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</si>
  <si>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</si>
  <si>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</si>
  <si>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</si>
  <si>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</si>
  <si>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</si>
  <si>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</si>
  <si>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</si>
  <si>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Poznámka:</t>
  </si>
  <si>
    <t>Kód</t>
  </si>
  <si>
    <t>723</t>
  </si>
  <si>
    <t>723120805R00</t>
  </si>
  <si>
    <t>723120804R00</t>
  </si>
  <si>
    <t>723150312R00</t>
  </si>
  <si>
    <t>723120205R00</t>
  </si>
  <si>
    <t>723120204R00</t>
  </si>
  <si>
    <t>723150343R00</t>
  </si>
  <si>
    <t>723150352R00</t>
  </si>
  <si>
    <t>723150366R00</t>
  </si>
  <si>
    <t>723150369R00</t>
  </si>
  <si>
    <t>723160204R00</t>
  </si>
  <si>
    <t>723160334R00</t>
  </si>
  <si>
    <t>723160804R00</t>
  </si>
  <si>
    <t>723160831R00</t>
  </si>
  <si>
    <t>723163103R00</t>
  </si>
  <si>
    <t>723163104R00</t>
  </si>
  <si>
    <t>723163105R00</t>
  </si>
  <si>
    <t>723165202R00</t>
  </si>
  <si>
    <t>723165212R00</t>
  </si>
  <si>
    <t>723165213R00</t>
  </si>
  <si>
    <t>723165203R00</t>
  </si>
  <si>
    <t>723190207R00</t>
  </si>
  <si>
    <t>723190251R00</t>
  </si>
  <si>
    <t>723190253R00</t>
  </si>
  <si>
    <t>723190901R00</t>
  </si>
  <si>
    <t>723190907R00</t>
  </si>
  <si>
    <t>723190909R00</t>
  </si>
  <si>
    <t>723190914R00</t>
  </si>
  <si>
    <t>723190915R00</t>
  </si>
  <si>
    <t>723191112R00</t>
  </si>
  <si>
    <t>723191118R00</t>
  </si>
  <si>
    <t>723229102R00</t>
  </si>
  <si>
    <t>723235213R00</t>
  </si>
  <si>
    <t>723235215R00</t>
  </si>
  <si>
    <t>723239103R00</t>
  </si>
  <si>
    <t>723260801R00</t>
  </si>
  <si>
    <t>723261912R00</t>
  </si>
  <si>
    <t>723290822R00</t>
  </si>
  <si>
    <t>725</t>
  </si>
  <si>
    <t>725610810R00</t>
  </si>
  <si>
    <t>725610912R00</t>
  </si>
  <si>
    <t>725650800R00</t>
  </si>
  <si>
    <t>725650805R00</t>
  </si>
  <si>
    <t>783</t>
  </si>
  <si>
    <t>783426360R00</t>
  </si>
  <si>
    <t>783125730R00</t>
  </si>
  <si>
    <t>783125530R00</t>
  </si>
  <si>
    <t>890VD</t>
  </si>
  <si>
    <t>890900500VD</t>
  </si>
  <si>
    <t>890600110VD</t>
  </si>
  <si>
    <t>810VD</t>
  </si>
  <si>
    <t>810500100VD</t>
  </si>
  <si>
    <t>15411735</t>
  </si>
  <si>
    <t>31630509</t>
  </si>
  <si>
    <t>31630511</t>
  </si>
  <si>
    <t>31630517</t>
  </si>
  <si>
    <t>900900100VD</t>
  </si>
  <si>
    <t>VÝMĚNA ROZVODŮ PLYNU A ETÁŽOVÉ TOPENÍ</t>
  </si>
  <si>
    <t>D.1.4.4 PLYNOINSTALACE</t>
  </si>
  <si>
    <t>Olomoucká 1415/56, ŠTERNBERK</t>
  </si>
  <si>
    <t>Zkrácený popis</t>
  </si>
  <si>
    <t>Rozměry</t>
  </si>
  <si>
    <t>Plynoinstalace</t>
  </si>
  <si>
    <t>Vnitřní plynovod</t>
  </si>
  <si>
    <t>Demontáž potrubí svařovaného závitového DN 25-50</t>
  </si>
  <si>
    <t>Demontáž potrubí svařovaného závitového do DN 25</t>
  </si>
  <si>
    <t>Potrubí ocelové hladké černé svařované D 57x2,9</t>
  </si>
  <si>
    <t>Potrubí ocelové závitové černé svařované DN 32</t>
  </si>
  <si>
    <t>Potrubí ocelové závitové černé svařované DN 25</t>
  </si>
  <si>
    <t>Zhotovení redukce kováním přes 1DN, DN 50/32</t>
  </si>
  <si>
    <t>Zhotovení redukce kováním přes 2 DN, DN 50/25</t>
  </si>
  <si>
    <t>Potrubí ocel. černé svařované-chráničky D 44,5/2,6</t>
  </si>
  <si>
    <t>Potrubí ocel. černé svařované - chráničky D 89/3,6</t>
  </si>
  <si>
    <t>Přípojka k plynoměru, závitová bez ochozu G 1</t>
  </si>
  <si>
    <t>Rozpěrka přípojky plynoměru G 1</t>
  </si>
  <si>
    <t>Demontáž přípojek k plynoměru,závitových G 1</t>
  </si>
  <si>
    <t>Demontáž rozpěrky přípojek plynoměru, G 1</t>
  </si>
  <si>
    <t>Potrubí z měděných plyn.trubek D 18 x 1,0 mm</t>
  </si>
  <si>
    <t>Potrubí z měděných plyn.trubek D 22 x 1,0 mm</t>
  </si>
  <si>
    <t>Potrubí z měděných plyn.trubek D 28 x 1,5 mm</t>
  </si>
  <si>
    <t>Montáž vod.tvar.Cu lisováním D15-22 mm 1 spoj</t>
  </si>
  <si>
    <t>Montáž vod.tvar.Cu lisováním D15-22 mm 2 spoje</t>
  </si>
  <si>
    <t>Montáž vod.tvar.Cu lisováním D 28 mm 2 spoje</t>
  </si>
  <si>
    <t>Montáž vod.tvar.Cu lisováním D 28 mm 1 spoj</t>
  </si>
  <si>
    <t>Přípojka plynovodu, trubky závitové černé DN 50</t>
  </si>
  <si>
    <t>Vyvedení a upevnění plynovodních výpustek DN 15</t>
  </si>
  <si>
    <t>Vyvedení a upevnění plynovodních výpustek DN 25</t>
  </si>
  <si>
    <t>Uzavření nebo otevření plynového potrubí</t>
  </si>
  <si>
    <t>Odvzdušnění a napuštění plynového potrubí</t>
  </si>
  <si>
    <t>Zkouška tlaková  plynového potrubí</t>
  </si>
  <si>
    <t>Navaření odbočky na plynové potrubí DN 25</t>
  </si>
  <si>
    <t>Navaření odbočky na plynové potrubí DN 32</t>
  </si>
  <si>
    <t>Hadice pro spotřeb. IVAR.FLEXIGAS DN 15,dl. 1,0 m</t>
  </si>
  <si>
    <t>Kohout kulový pro flexigas rohový IVAR.G2T DN 15</t>
  </si>
  <si>
    <t>Montáž plynovod.armatur s 1závitem, G 1/2</t>
  </si>
  <si>
    <t>Kohout kulový, vnitř.-vnitř.z. IVAR FUTURGAS DN 15</t>
  </si>
  <si>
    <t>Kohout kulový, vnitř.-vnitř.z. IVAR FUTURGAS DN 25</t>
  </si>
  <si>
    <t>Montáž plynovodních armatur, 2 závity, G 1</t>
  </si>
  <si>
    <t>Demontáž plynoměrů PS 2, PS 6, PS 10</t>
  </si>
  <si>
    <t>Oprava - montáž plynoměrů PS-2, PS-6</t>
  </si>
  <si>
    <t>Přesun vybouraných hmot - plynovody, H 6 -12 m</t>
  </si>
  <si>
    <t>Zařizovací předměty</t>
  </si>
  <si>
    <t>Demontáž plynového sporáku</t>
  </si>
  <si>
    <t>Zpětná montáž plyn.sporáků s úpravou instalace</t>
  </si>
  <si>
    <t>Demontáž těles otopných plynových skřínových</t>
  </si>
  <si>
    <t>Demontáž těles otopných plynových podokenních</t>
  </si>
  <si>
    <t>Nátěry</t>
  </si>
  <si>
    <t>Nátěr syntet. potrubí do DN 100 mm Z +2x +1x email</t>
  </si>
  <si>
    <t>Nátěr syntetický OK "C" nebo "CC" základní</t>
  </si>
  <si>
    <t>Nátěr syntetický OK "C" nebo "CC" 2x + 1x email</t>
  </si>
  <si>
    <t>890 Pomocné práce</t>
  </si>
  <si>
    <t>Plyn -pomocné práce - prostupy, rýhy,...</t>
  </si>
  <si>
    <t>Pomocné práce stavební - zapravení</t>
  </si>
  <si>
    <t>Revize - plyn</t>
  </si>
  <si>
    <t>Revize vnitřní plynoinstalace</t>
  </si>
  <si>
    <t>Ostatní materiál</t>
  </si>
  <si>
    <t>Profil L rovnoramenný 11375  50x50x3 mm</t>
  </si>
  <si>
    <t>Oblouk K3 90° 11353.1 d 31,8 x 2,6 mm</t>
  </si>
  <si>
    <t>Oblouk K3 90° 11353.1 d 38 x 2,6 mm</t>
  </si>
  <si>
    <t>Oblouk K3 90° 11353.1 d 57 x 2,9 mm</t>
  </si>
  <si>
    <t>Pomocný mtž materiál</t>
  </si>
  <si>
    <t>Doba výstavby:</t>
  </si>
  <si>
    <t>Začátek výstavby:</t>
  </si>
  <si>
    <t>Konec výstavby:</t>
  </si>
  <si>
    <t>Zpracováno dne:</t>
  </si>
  <si>
    <t> </t>
  </si>
  <si>
    <t>14.08.2019</t>
  </si>
  <si>
    <t>M.j.</t>
  </si>
  <si>
    <t>m</t>
  </si>
  <si>
    <t>kus</t>
  </si>
  <si>
    <t>soubor</t>
  </si>
  <si>
    <t>pár</t>
  </si>
  <si>
    <t>t</t>
  </si>
  <si>
    <t>m2</t>
  </si>
  <si>
    <t>hod</t>
  </si>
  <si>
    <t>ks</t>
  </si>
  <si>
    <t>T</t>
  </si>
  <si>
    <t>kg</t>
  </si>
  <si>
    <t>Objednatel:</t>
  </si>
  <si>
    <t>Projektant:</t>
  </si>
  <si>
    <t>Zhotovitel:</t>
  </si>
  <si>
    <t>Zpracoval:</t>
  </si>
  <si>
    <t>Množství</t>
  </si>
  <si>
    <t>Ing. Roman Kunert</t>
  </si>
  <si>
    <t>dle výb. řízení</t>
  </si>
  <si>
    <t>Jednot.</t>
  </si>
  <si>
    <t>cena (Kč)</t>
  </si>
  <si>
    <t>Náklady (Kč)</t>
  </si>
  <si>
    <t>Dodávka</t>
  </si>
  <si>
    <t>Celkem:</t>
  </si>
  <si>
    <t>Montáž</t>
  </si>
  <si>
    <t>Celkem</t>
  </si>
  <si>
    <t>Cenová</t>
  </si>
  <si>
    <t>soustava</t>
  </si>
  <si>
    <t>RTS II / 2018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</si>
  <si>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</si>
  <si>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</si>
  <si>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</si>
  <si>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</si>
  <si>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</si>
  <si>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</si>
  <si>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</si>
  <si>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</si>
  <si>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</si>
  <si>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D1.4.4</t>
  </si>
  <si>
    <t>0</t>
  </si>
  <si>
    <t>723_</t>
  </si>
  <si>
    <t>725_</t>
  </si>
  <si>
    <t>783_</t>
  </si>
  <si>
    <t>890VD_</t>
  </si>
  <si>
    <t>810VD_</t>
  </si>
  <si>
    <t>Z99999_</t>
  </si>
  <si>
    <t>D1.4.4_72_</t>
  </si>
  <si>
    <t>D1.4.4_78_</t>
  </si>
  <si>
    <t>D1.4.4_8_</t>
  </si>
  <si>
    <t>D1.4.4_Z_</t>
  </si>
  <si>
    <t>D1.4.4_</t>
  </si>
  <si>
    <t>MAT</t>
  </si>
  <si>
    <t>WORK</t>
  </si>
  <si>
    <t>CELK</t>
  </si>
  <si>
    <t>Slepý stavební rozpočet - rekapitulace</t>
  </si>
  <si>
    <t>Objekt</t>
  </si>
  <si>
    <t>Náklady (Kč) - dodávka</t>
  </si>
  <si>
    <t>Náklady (Kč) - Montáž</t>
  </si>
  <si>
    <t>Náklady (Kč) - celkem</t>
  </si>
  <si>
    <t>F</t>
  </si>
  <si>
    <t>Výkaz výměr</t>
  </si>
  <si>
    <t>Cenová soustava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</si>
  <si>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</si>
  <si>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</si>
  <si>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</si>
  <si>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</si>
  <si>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</si>
  <si>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</si>
  <si>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</si>
  <si>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</si>
  <si>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</si>
  <si>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</si>
  <si>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</si>
  <si>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</si>
  <si>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</si>
  <si>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</si>
  <si>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</si>
  <si>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</si>
  <si>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</si>
  <si>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</si>
  <si>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</si>
  <si>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</si>
  <si>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</si>
  <si>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</si>
  <si>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</si>
  <si>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</si>
  <si>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</si>
  <si>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</si>
  <si>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</si>
  <si>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</si>
  <si>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</si>
  <si>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</si>
  <si>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</si>
  <si>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</si>
  <si>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</si>
  <si>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</si>
  <si>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</si>
  <si>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</si>
  <si>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</si>
  <si>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</si>
  <si>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</si>
  <si>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</si>
  <si>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</si>
  <si>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</si>
  <si>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</si>
  <si>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64955028/cz6502030612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</si>
</sst>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30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4" fillId="2" borderId="7" xfId="0" applyNumberFormat="1" applyFont="1" applyFill="1" applyBorder="1" applyAlignment="1" applyProtection="1">
      <alignment horizontal="left" vertical="center"/>
      <protection/>
    </xf>
    <xf numFmtId="49" fontId="5" fillId="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9" fillId="2" borderId="7" xfId="0" applyNumberFormat="1" applyFont="1" applyFill="1" applyBorder="1" applyAlignment="1" applyProtection="1">
      <alignment horizontal="left" vertical="center"/>
      <protection/>
    </xf>
    <xf numFmtId="49" fontId="10" fillId="3" borderId="0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9" fillId="2" borderId="7" xfId="0" applyNumberFormat="1" applyFont="1" applyFill="1" applyBorder="1" applyAlignment="1" applyProtection="1">
      <alignment horizontal="left" vertical="center"/>
      <protection/>
    </xf>
    <xf numFmtId="0" fontId="10" fillId="3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8" fontId="1" fillId="0" borderId="8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9" fillId="2" borderId="7" xfId="0" applyNumberFormat="1" applyFont="1" applyFill="1" applyBorder="1" applyAlignment="1" applyProtection="1">
      <alignment horizontal="right" vertical="center"/>
      <protection/>
    </xf>
    <xf numFmtId="49" fontId="10" fillId="3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9" fillId="2" borderId="7" xfId="0" applyNumberFormat="1" applyFont="1" applyFill="1" applyBorder="1" applyAlignment="1" applyProtection="1">
      <alignment horizontal="right" vertical="center"/>
      <protection/>
    </xf>
    <xf numFmtId="4" fontId="10" fillId="3" borderId="0" xfId="0" applyNumberFormat="1" applyFont="1" applyFill="1" applyBorder="1" applyAlignment="1" applyProtection="1">
      <alignment horizontal="right" vertical="center"/>
      <protection/>
    </xf>
    <xf numFmtId="4" fontId="3" fillId="0" borderId="8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7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11" fillId="0" borderId="34" xfId="0" applyNumberFormat="1" applyFont="1" applyFill="1" applyBorder="1" applyAlignment="1" applyProtection="1">
      <alignment horizontal="center" vertical="center"/>
      <protection/>
    </xf>
    <xf numFmtId="49" fontId="12" fillId="4" borderId="35" xfId="0" applyNumberFormat="1" applyFont="1" applyFill="1" applyBorder="1" applyAlignment="1" applyProtection="1">
      <alignment horizontal="center" vertical="center"/>
      <protection/>
    </xf>
    <xf numFmtId="49" fontId="13" fillId="0" borderId="36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49" fontId="13" fillId="0" borderId="38" xfId="0" applyNumberFormat="1" applyFont="1" applyFill="1" applyBorder="1" applyAlignment="1" applyProtection="1">
      <alignment horizontal="left" vertical="center"/>
      <protection/>
    </xf>
    <xf numFmtId="49" fontId="13" fillId="4" borderId="3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49" fontId="14" fillId="0" borderId="40" xfId="0" applyNumberFormat="1" applyFont="1" applyFill="1" applyBorder="1" applyAlignment="1" applyProtection="1">
      <alignment horizontal="left" vertical="center"/>
      <protection/>
    </xf>
    <xf numFmtId="49" fontId="14" fillId="0" borderId="27" xfId="0" applyNumberFormat="1" applyFont="1" applyFill="1" applyBorder="1" applyAlignment="1" applyProtection="1">
      <alignment horizontal="left" vertical="center"/>
      <protection/>
    </xf>
    <xf numFmtId="49" fontId="14" fillId="0" borderId="41" xfId="0" applyNumberFormat="1" applyFont="1" applyFill="1" applyBorder="1" applyAlignment="1" applyProtection="1">
      <alignment horizontal="left" vertical="center"/>
      <protection/>
    </xf>
    <xf numFmtId="49" fontId="8" fillId="0" borderId="7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center" vertical="center"/>
      <protection/>
    </xf>
    <xf numFmtId="49" fontId="15" fillId="0" borderId="38" xfId="0" applyNumberFormat="1" applyFont="1" applyFill="1" applyBorder="1" applyAlignment="1" applyProtection="1">
      <alignment horizontal="left" vertical="center"/>
      <protection/>
    </xf>
    <xf numFmtId="49" fontId="14" fillId="0" borderId="35" xfId="0" applyNumberFormat="1" applyFont="1" applyFill="1" applyBorder="1" applyAlignment="1" applyProtection="1">
      <alignment horizontal="left" vertical="center"/>
      <protection/>
    </xf>
    <xf numFmtId="0" fontId="13" fillId="0" borderId="42" xfId="0" applyNumberFormat="1" applyFont="1" applyFill="1" applyBorder="1" applyAlignment="1" applyProtection="1">
      <alignment horizontal="left" vertical="center"/>
      <protection/>
    </xf>
    <xf numFmtId="0" fontId="13" fillId="4" borderId="34" xfId="0" applyNumberFormat="1" applyFont="1" applyFill="1" applyBorder="1" applyAlignment="1" applyProtection="1">
      <alignment horizontal="left" vertical="center"/>
      <protection/>
    </xf>
    <xf numFmtId="0" fontId="14" fillId="0" borderId="7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4" fillId="0" borderId="43" xfId="0" applyNumberFormat="1" applyFont="1" applyFill="1" applyBorder="1" applyAlignment="1" applyProtection="1">
      <alignment horizontal="left" vertical="center"/>
      <protection/>
    </xf>
    <xf numFmtId="0" fontId="14" fillId="0" borderId="44" xfId="0" applyNumberFormat="1" applyFont="1" applyFill="1" applyBorder="1" applyAlignment="1" applyProtection="1">
      <alignment horizontal="left" vertical="center"/>
      <protection/>
    </xf>
    <xf numFmtId="0" fontId="14" fillId="0" borderId="45" xfId="0" applyNumberFormat="1" applyFont="1" applyFill="1" applyBorder="1" applyAlignment="1" applyProtection="1">
      <alignment horizontal="left" vertical="center"/>
      <protection/>
    </xf>
    <xf numFmtId="49" fontId="14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4" fillId="0" borderId="42" xfId="0" applyNumberFormat="1" applyFont="1" applyFill="1" applyBorder="1" applyAlignment="1" applyProtection="1">
      <alignment horizontal="left" vertical="center"/>
      <protection/>
    </xf>
    <xf numFmtId="4" fontId="14" fillId="0" borderId="35" xfId="0" applyNumberFormat="1" applyFont="1" applyFill="1" applyBorder="1" applyAlignment="1" applyProtection="1">
      <alignment horizontal="right" vertical="center"/>
      <protection/>
    </xf>
    <xf numFmtId="49" fontId="14" fillId="0" borderId="35" xfId="0" applyNumberFormat="1" applyFont="1" applyFill="1" applyBorder="1" applyAlignment="1" applyProtection="1">
      <alignment horizontal="right" vertical="center"/>
      <protection/>
    </xf>
    <xf numFmtId="4" fontId="14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4" fontId="13" fillId="4" borderId="42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49" fontId="2" fillId="0" borderId="1" xfId="0" applyNumberFormat="1" applyFont="1" applyFill="1" applyBorder="1" applyAlignment="1" applyProtection="1">
      <alignment horizont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3"/>
  <sheetViews>
    <sheetView tabSelected="1" workbookViewId="0" topLeftCell="A1">
      <pane ySplit="11" topLeftCell="A12" activePane="bottomLeft" state="frozen"/>
      <selection pane="bottomLeft" activeCell="A1" sqref="A1:L1"/>
    </sheetView>
  </sheetViews>
  <sheetFormatPr defaultColWidth="11.57421875" defaultRowHeight="12.75"/>
  <cols>
    <col min="1" max="1" width="3.7109375" customWidth="1"/>
    <col min="2" max="2" width="14.28125" customWidth="1"/>
    <col min="3" max="3" width="58.140625" customWidth="1"/>
    <col min="4" max="5" width="12.140625" customWidth="1"/>
    <col min="6" max="6" width="8.140625" customWidth="1"/>
    <col min="7" max="7" width="12.8515625" customWidth="1"/>
    <col min="8" max="8" width="12.00390625" customWidth="1"/>
    <col min="9" max="11" width="14.28125" customWidth="1"/>
    <col min="12" max="12" width="15.00390625" customWidth="1"/>
    <col min="25" max="62" width="9.7109375" hidden="1" customWidth="1"/>
  </cols>
  <sheetData>
    <row r="1" spans="1:12" ht="72.75" customHeight="1">
      <c r="A1" s="129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9" customHeight="1">
      <c r="A2" s="3" t="s">
        <v>1</v>
      </c>
      <c r="B2" s="18"/>
      <c r="C2" s="25" t="s">
        <v>118</v>
      </c>
      <c r="D2" s="29" t="s">
        <v>182</v>
      </c>
      <c r="E2" s="18"/>
      <c r="F2" s="29" t="s">
        <v>6</v>
      </c>
      <c r="G2" s="40" t="s">
        <v>199</v>
      </c>
      <c r="H2" s="45">
        <v>0</v>
      </c>
      <c r="I2" s="18"/>
      <c r="J2" s="18"/>
      <c r="K2" s="18"/>
      <c r="L2" s="56"/>
      <c r="M2" s="66"/>
    </row>
    <row r="3" spans="1:13" ht="9" customHeight="1">
      <c r="A3" s="4"/>
      <c r="B3" s="19"/>
      <c r="C3" s="26"/>
      <c r="D3" s="19"/>
      <c r="E3" s="19"/>
      <c r="F3" s="19"/>
      <c r="G3" s="19"/>
      <c r="H3" s="19"/>
      <c r="I3" s="19"/>
      <c r="J3" s="19"/>
      <c r="K3" s="19"/>
      <c r="L3" s="57"/>
      <c r="M3" s="66"/>
    </row>
    <row r="4" spans="1:13" ht="12.75">
      <c r="A4" s="5" t="s">
        <v>2</v>
      </c>
      <c r="B4" s="19"/>
      <c r="C4" s="16" t="s">
        <v>119</v>
      </c>
      <c r="D4" s="30" t="s">
        <v>183</v>
      </c>
      <c r="E4" s="19"/>
      <c r="F4" s="30" t="s">
        <v>186</v>
      </c>
      <c r="G4" s="16" t="s">
        <v>200</v>
      </c>
      <c r="H4" s="16" t="s">
        <v>204</v>
      </c>
      <c r="I4" s="19"/>
      <c r="J4" s="19"/>
      <c r="K4" s="19"/>
      <c r="L4" s="57"/>
      <c r="M4" s="66"/>
    </row>
    <row r="5" spans="1:13" ht="12.75">
      <c r="A5" s="4"/>
      <c r="B5" s="19"/>
      <c r="C5" s="19"/>
      <c r="D5" s="19"/>
      <c r="E5" s="19"/>
      <c r="F5" s="19"/>
      <c r="G5" s="19"/>
      <c r="H5" s="19"/>
      <c r="I5" s="19"/>
      <c r="J5" s="19"/>
      <c r="K5" s="19"/>
      <c r="L5" s="57"/>
      <c r="M5" s="66"/>
    </row>
    <row r="6" spans="1:13" ht="12.75">
      <c r="A6" s="5" t="s">
        <v>3</v>
      </c>
      <c r="B6" s="19"/>
      <c r="C6" s="16" t="s">
        <v>120</v>
      </c>
      <c r="D6" s="30" t="s">
        <v>184</v>
      </c>
      <c r="E6" s="19"/>
      <c r="F6" s="30" t="s">
        <v>186</v>
      </c>
      <c r="G6" s="16" t="s">
        <v>201</v>
      </c>
      <c r="H6" s="16" t="s">
        <v>205</v>
      </c>
      <c r="I6" s="19"/>
      <c r="J6" s="19"/>
      <c r="K6" s="19"/>
      <c r="L6" s="57"/>
      <c r="M6" s="66"/>
    </row>
    <row r="7" spans="1:13" ht="12.75">
      <c r="A7" s="4"/>
      <c r="B7" s="19"/>
      <c r="C7" s="19"/>
      <c r="D7" s="19"/>
      <c r="E7" s="19"/>
      <c r="F7" s="19"/>
      <c r="G7" s="19"/>
      <c r="H7" s="19"/>
      <c r="I7" s="19"/>
      <c r="J7" s="19"/>
      <c r="K7" s="19"/>
      <c r="L7" s="57"/>
      <c r="M7" s="66"/>
    </row>
    <row r="8" spans="1:13" ht="12.75">
      <c r="A8" s="5" t="s">
        <v>4</v>
      </c>
      <c r="B8" s="19"/>
      <c r="C8" s="16">
        <v>803521</v>
      </c>
      <c r="D8" s="30" t="s">
        <v>185</v>
      </c>
      <c r="E8" s="19"/>
      <c r="F8" s="30" t="s">
        <v>187</v>
      </c>
      <c r="G8" s="16" t="s">
        <v>202</v>
      </c>
      <c r="H8" s="16" t="s">
        <v>204</v>
      </c>
      <c r="I8" s="19"/>
      <c r="J8" s="19"/>
      <c r="K8" s="19"/>
      <c r="L8" s="57"/>
      <c r="M8" s="66"/>
    </row>
    <row r="9" spans="1:13" ht="12.75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58"/>
      <c r="M9" s="66"/>
    </row>
    <row r="10" spans="1:13" ht="9" customHeight="1">
      <c r="A10" s="7" t="s">
        <v>5</v>
      </c>
      <c r="B10" s="21" t="s">
        <v>60</v>
      </c>
      <c r="C10" s="27" t="s">
        <v>121</v>
      </c>
      <c r="D10" s="31"/>
      <c r="E10" s="38"/>
      <c r="F10" s="21" t="s">
        <v>188</v>
      </c>
      <c r="G10" s="41" t="s">
        <v>203</v>
      </c>
      <c r="H10" s="46" t="s">
        <v>206</v>
      </c>
      <c r="I10" s="48" t="s">
        <v>208</v>
      </c>
      <c r="J10" s="51"/>
      <c r="K10" s="54"/>
      <c r="L10" s="59" t="s">
        <v>213</v>
      </c>
      <c r="M10" s="67"/>
    </row>
    <row r="11" spans="1:62" ht="9" customHeight="1">
      <c r="A11" s="8" t="s">
        <v>6</v>
      </c>
      <c r="B11" s="22" t="s">
        <v>6</v>
      </c>
      <c r="C11" s="28" t="s">
        <v>122</v>
      </c>
      <c r="D11" s="32"/>
      <c r="E11" s="39"/>
      <c r="F11" s="22" t="s">
        <v>6</v>
      </c>
      <c r="G11" s="22" t="s">
        <v>6</v>
      </c>
      <c r="H11" s="47" t="s">
        <v>207</v>
      </c>
      <c r="I11" s="49" t="s">
        <v>209</v>
      </c>
      <c r="J11" s="52" t="s">
        <v>211</v>
      </c>
      <c r="K11" s="55" t="s">
        <v>212</v>
      </c>
      <c r="L11" s="60" t="s">
        <v>214</v>
      </c>
      <c r="M11" s="67"/>
      <c r="Z11" s="62" t="s">
        <v>216</v>
      </c>
      <c r="AA11" s="62" t="s">
        <v>217</v>
      </c>
      <c r="AB11" s="62" t="s">
        <v>218</v>
      </c>
      <c r="AC11" s="62" t="s">
        <v>219</v>
      </c>
      <c r="AD11" s="62" t="s">
        <v>220</v>
      </c>
      <c r="AE11" s="62" t="s">
        <v>221</v>
      </c>
      <c r="AF11" s="62" t="s">
        <v>222</v>
      </c>
      <c r="AG11" s="62" t="s">
        <v>223</v>
      </c>
      <c r="AH11" s="62" t="s">
        <v>224</v>
      </c>
      <c r="BH11" s="62" t="s">
        <v>238</v>
      </c>
      <c r="BI11" s="62" t="s">
        <v>239</v>
      </c>
      <c r="BJ11" s="62" t="s">
        <v>240</v>
      </c>
    </row>
    <row r="12" spans="1:12" ht="9" customHeight="1">
      <c r="A12" s="9"/>
      <c r="B12" s="23"/>
      <c r="C12" s="23" t="s">
        <v>123</v>
      </c>
      <c r="D12" s="33"/>
      <c r="E12" s="33"/>
      <c r="F12" s="9" t="s">
        <v>6</v>
      </c>
      <c r="G12" s="9" t="s">
        <v>6</v>
      </c>
      <c r="H12" s="9" t="s">
        <v>6</v>
      </c>
      <c r="I12" s="70">
        <f>I13+I51+I56+I60+I63+I65</f>
        <v>0</v>
      </c>
      <c r="J12" s="70">
        <f>J13+J51+J56+J60+J63+J65</f>
        <v>0</v>
      </c>
      <c r="K12" s="70">
        <f>K13+K51+K56+K60+K63+K65</f>
        <v>0</v>
      </c>
      <c r="L12" s="61"/>
    </row>
    <row r="13" spans="1:47" ht="9" customHeight="1">
      <c r="A13" s="10"/>
      <c r="B13" s="24" t="s">
        <v>61</v>
      </c>
      <c r="C13" s="24" t="s">
        <v>124</v>
      </c>
      <c r="D13" s="34"/>
      <c r="E13" s="34"/>
      <c r="F13" s="10" t="s">
        <v>6</v>
      </c>
      <c r="G13" s="10" t="s">
        <v>6</v>
      </c>
      <c r="H13" s="10" t="s">
        <v>6</v>
      </c>
      <c r="I13" s="71">
        <f>SUM(I14:I50)</f>
        <v>0</v>
      </c>
      <c r="J13" s="71">
        <f>SUM(J14:J50)</f>
        <v>0</v>
      </c>
      <c r="K13" s="71">
        <f>SUM(K14:K50)</f>
        <v>0</v>
      </c>
      <c r="L13" s="62"/>
      <c r="AI13" s="62" t="s">
        <v>225</v>
      </c>
      <c r="AS13" s="71">
        <f>SUM(AJ14:AJ50)</f>
        <v>0</v>
      </c>
      <c r="AT13" s="71">
        <f>SUM(AK14:AK50)</f>
        <v>0</v>
      </c>
      <c r="AU13" s="71">
        <f>SUM(AL14:AL50)</f>
        <v>0</v>
      </c>
    </row>
    <row r="14" spans="1:62" ht="9" customHeight="1">
      <c r="A14" s="11" t="s">
        <v>7</v>
      </c>
      <c r="B14" s="11" t="s">
        <v>62</v>
      </c>
      <c r="C14" s="11" t="s">
        <v>125</v>
      </c>
      <c r="D14" s="35"/>
      <c r="E14" s="35"/>
      <c r="F14" s="11" t="s">
        <v>189</v>
      </c>
      <c r="G14" s="42">
        <v>20</v>
      </c>
      <c r="H14" s="42">
        <v>0</v>
      </c>
      <c r="I14" s="42">
        <f>G14*AO14</f>
        <v>0</v>
      </c>
      <c r="J14" s="42">
        <f>G14*AP14</f>
        <v>0</v>
      </c>
      <c r="K14" s="42">
        <f>G14*H14</f>
        <v>0</v>
      </c>
      <c r="L14" s="63" t="s">
        <v>215</v>
      </c>
      <c r="Z14" s="68">
        <f>IF(AQ14="5",BJ14,0)</f>
        <v>0</v>
      </c>
      <c r="AB14" s="68">
        <f>IF(AQ14="1",BH14,0)</f>
        <v>0</v>
      </c>
      <c r="AC14" s="68">
        <f>IF(AQ14="1",BI14,0)</f>
        <v>0</v>
      </c>
      <c r="AD14" s="68">
        <f>IF(AQ14="7",BH14,0)</f>
        <v>0</v>
      </c>
      <c r="AE14" s="68">
        <f>IF(AQ14="7",BI14,0)</f>
        <v>0</v>
      </c>
      <c r="AF14" s="68">
        <f>IF(AQ14="2",BH14,0)</f>
        <v>0</v>
      </c>
      <c r="AG14" s="68">
        <f>IF(AQ14="2",BI14,0)</f>
        <v>0</v>
      </c>
      <c r="AH14" s="68">
        <f>IF(AQ14="0",BJ14,0)</f>
        <v>0</v>
      </c>
      <c r="AI14" s="62" t="s">
        <v>225</v>
      </c>
      <c r="AJ14" s="42">
        <f>IF(AN14=0,K14,0)</f>
        <v>0</v>
      </c>
      <c r="AK14" s="42">
        <f>IF(AN14=15,K14,0)</f>
        <v>0</v>
      </c>
      <c r="AL14" s="42">
        <f>IF(AN14=21,K14,0)</f>
        <v>0</v>
      </c>
      <c r="AN14" s="68">
        <v>15</v>
      </c>
      <c r="AO14" s="68">
        <f>H14*0.864978540772532</f>
        <v>0</v>
      </c>
      <c r="AP14" s="68">
        <f>H14*(1-0.864978540772532)</f>
        <v>0</v>
      </c>
      <c r="AQ14" s="63" t="s">
        <v>13</v>
      </c>
      <c r="AV14" s="68">
        <f>AW14+AX14</f>
        <v>0</v>
      </c>
      <c r="AW14" s="68">
        <f>G14*AO14</f>
        <v>0</v>
      </c>
      <c r="AX14" s="68">
        <f>G14*AP14</f>
        <v>0</v>
      </c>
      <c r="AY14" s="69" t="s">
        <v>227</v>
      </c>
      <c r="AZ14" s="69" t="s">
        <v>233</v>
      </c>
      <c r="BA14" s="62" t="s">
        <v>237</v>
      </c>
      <c r="BC14" s="68">
        <f>AW14+AX14</f>
        <v>0</v>
      </c>
      <c r="BD14" s="68">
        <f>H14/(100-BE14)*100</f>
        <v>0</v>
      </c>
      <c r="BE14" s="68">
        <v>0</v>
      </c>
      <c r="BF14" s="68">
        <f>14</f>
        <v>14</v>
      </c>
      <c r="BH14" s="42">
        <f>G14*AO14</f>
        <v>0</v>
      </c>
      <c r="BI14" s="42">
        <f>G14*AP14</f>
        <v>0</v>
      </c>
      <c r="BJ14" s="42">
        <f>G14*H14</f>
        <v>0</v>
      </c>
    </row>
    <row r="15" spans="1:62" ht="9" customHeight="1">
      <c r="A15" s="11" t="s">
        <v>8</v>
      </c>
      <c r="B15" s="11" t="s">
        <v>63</v>
      </c>
      <c r="C15" s="11" t="s">
        <v>126</v>
      </c>
      <c r="D15" s="35"/>
      <c r="E15" s="35"/>
      <c r="F15" s="11" t="s">
        <v>189</v>
      </c>
      <c r="G15" s="42">
        <v>10</v>
      </c>
      <c r="H15" s="42">
        <v>0</v>
      </c>
      <c r="I15" s="42">
        <f>G15*AO15</f>
        <v>0</v>
      </c>
      <c r="J15" s="42">
        <f>G15*AP15</f>
        <v>0</v>
      </c>
      <c r="K15" s="42">
        <f>G15*H15</f>
        <v>0</v>
      </c>
      <c r="L15" s="63" t="s">
        <v>215</v>
      </c>
      <c r="Z15" s="68">
        <f>IF(AQ15="5",BJ15,0)</f>
        <v>0</v>
      </c>
      <c r="AB15" s="68">
        <f>IF(AQ15="1",BH15,0)</f>
        <v>0</v>
      </c>
      <c r="AC15" s="68">
        <f>IF(AQ15="1",BI15,0)</f>
        <v>0</v>
      </c>
      <c r="AD15" s="68">
        <f>IF(AQ15="7",BH15,0)</f>
        <v>0</v>
      </c>
      <c r="AE15" s="68">
        <f>IF(AQ15="7",BI15,0)</f>
        <v>0</v>
      </c>
      <c r="AF15" s="68">
        <f>IF(AQ15="2",BH15,0)</f>
        <v>0</v>
      </c>
      <c r="AG15" s="68">
        <f>IF(AQ15="2",BI15,0)</f>
        <v>0</v>
      </c>
      <c r="AH15" s="68">
        <f>IF(AQ15="0",BJ15,0)</f>
        <v>0</v>
      </c>
      <c r="AI15" s="62" t="s">
        <v>225</v>
      </c>
      <c r="AJ15" s="42">
        <f>IF(AN15=0,K15,0)</f>
        <v>0</v>
      </c>
      <c r="AK15" s="42">
        <f>IF(AN15=15,K15,0)</f>
        <v>0</v>
      </c>
      <c r="AL15" s="42">
        <f>IF(AN15=21,K15,0)</f>
        <v>0</v>
      </c>
      <c r="AN15" s="68">
        <v>15</v>
      </c>
      <c r="AO15" s="68">
        <f>H15*0.73440594059406</f>
        <v>0</v>
      </c>
      <c r="AP15" s="68">
        <f>H15*(1-0.73440594059406)</f>
        <v>0</v>
      </c>
      <c r="AQ15" s="63" t="s">
        <v>13</v>
      </c>
      <c r="AV15" s="68">
        <f>AW15+AX15</f>
        <v>0</v>
      </c>
      <c r="AW15" s="68">
        <f>G15*AO15</f>
        <v>0</v>
      </c>
      <c r="AX15" s="68">
        <f>G15*AP15</f>
        <v>0</v>
      </c>
      <c r="AY15" s="69" t="s">
        <v>227</v>
      </c>
      <c r="AZ15" s="69" t="s">
        <v>233</v>
      </c>
      <c r="BA15" s="62" t="s">
        <v>237</v>
      </c>
      <c r="BC15" s="68">
        <f>AW15+AX15</f>
        <v>0</v>
      </c>
      <c r="BD15" s="68">
        <f>H15/(100-BE15)*100</f>
        <v>0</v>
      </c>
      <c r="BE15" s="68">
        <v>0</v>
      </c>
      <c r="BF15" s="68">
        <f>15</f>
        <v>15</v>
      </c>
      <c r="BH15" s="42">
        <f>G15*AO15</f>
        <v>0</v>
      </c>
      <c r="BI15" s="42">
        <f>G15*AP15</f>
        <v>0</v>
      </c>
      <c r="BJ15" s="42">
        <f>G15*H15</f>
        <v>0</v>
      </c>
    </row>
    <row r="16" spans="1:62" ht="9" customHeight="1">
      <c r="A16" s="11" t="s">
        <v>9</v>
      </c>
      <c r="B16" s="11" t="s">
        <v>64</v>
      </c>
      <c r="C16" s="11" t="s">
        <v>127</v>
      </c>
      <c r="D16" s="35"/>
      <c r="E16" s="35"/>
      <c r="F16" s="11" t="s">
        <v>189</v>
      </c>
      <c r="G16" s="42">
        <v>6</v>
      </c>
      <c r="H16" s="42">
        <v>0</v>
      </c>
      <c r="I16" s="42">
        <f>G16*AO16</f>
        <v>0</v>
      </c>
      <c r="J16" s="42">
        <f>G16*AP16</f>
        <v>0</v>
      </c>
      <c r="K16" s="42">
        <f>G16*H16</f>
        <v>0</v>
      </c>
      <c r="L16" s="63" t="s">
        <v>215</v>
      </c>
      <c r="Z16" s="68">
        <f>IF(AQ16="5",BJ16,0)</f>
        <v>0</v>
      </c>
      <c r="AB16" s="68">
        <f>IF(AQ16="1",BH16,0)</f>
        <v>0</v>
      </c>
      <c r="AC16" s="68">
        <f>IF(AQ16="1",BI16,0)</f>
        <v>0</v>
      </c>
      <c r="AD16" s="68">
        <f>IF(AQ16="7",BH16,0)</f>
        <v>0</v>
      </c>
      <c r="AE16" s="68">
        <f>IF(AQ16="7",BI16,0)</f>
        <v>0</v>
      </c>
      <c r="AF16" s="68">
        <f>IF(AQ16="2",BH16,0)</f>
        <v>0</v>
      </c>
      <c r="AG16" s="68">
        <f>IF(AQ16="2",BI16,0)</f>
        <v>0</v>
      </c>
      <c r="AH16" s="68">
        <f>IF(AQ16="0",BJ16,0)</f>
        <v>0</v>
      </c>
      <c r="AI16" s="62" t="s">
        <v>225</v>
      </c>
      <c r="AJ16" s="42">
        <f>IF(AN16=0,K16,0)</f>
        <v>0</v>
      </c>
      <c r="AK16" s="42">
        <f>IF(AN16=15,K16,0)</f>
        <v>0</v>
      </c>
      <c r="AL16" s="42">
        <f>IF(AN16=21,K16,0)</f>
        <v>0</v>
      </c>
      <c r="AN16" s="68">
        <v>15</v>
      </c>
      <c r="AO16" s="68">
        <f>H16*0.551453370657934</f>
        <v>0</v>
      </c>
      <c r="AP16" s="68">
        <f>H16*(1-0.551453370657934)</f>
        <v>0</v>
      </c>
      <c r="AQ16" s="63" t="s">
        <v>13</v>
      </c>
      <c r="AV16" s="68">
        <f>AW16+AX16</f>
        <v>0</v>
      </c>
      <c r="AW16" s="68">
        <f>G16*AO16</f>
        <v>0</v>
      </c>
      <c r="AX16" s="68">
        <f>G16*AP16</f>
        <v>0</v>
      </c>
      <c r="AY16" s="69" t="s">
        <v>227</v>
      </c>
      <c r="AZ16" s="69" t="s">
        <v>233</v>
      </c>
      <c r="BA16" s="62" t="s">
        <v>237</v>
      </c>
      <c r="BC16" s="68">
        <f>AW16+AX16</f>
        <v>0</v>
      </c>
      <c r="BD16" s="68">
        <f>H16/(100-BE16)*100</f>
        <v>0</v>
      </c>
      <c r="BE16" s="68">
        <v>0</v>
      </c>
      <c r="BF16" s="68">
        <f>16</f>
        <v>16</v>
      </c>
      <c r="BH16" s="42">
        <f>G16*AO16</f>
        <v>0</v>
      </c>
      <c r="BI16" s="42">
        <f>G16*AP16</f>
        <v>0</v>
      </c>
      <c r="BJ16" s="42">
        <f>G16*H16</f>
        <v>0</v>
      </c>
    </row>
    <row r="17" spans="1:62" ht="9" customHeight="1">
      <c r="A17" s="11" t="s">
        <v>10</v>
      </c>
      <c r="B17" s="11" t="s">
        <v>65</v>
      </c>
      <c r="C17" s="11" t="s">
        <v>128</v>
      </c>
      <c r="D17" s="35"/>
      <c r="E17" s="35"/>
      <c r="F17" s="11" t="s">
        <v>189</v>
      </c>
      <c r="G17" s="42">
        <v>1</v>
      </c>
      <c r="H17" s="42">
        <v>0</v>
      </c>
      <c r="I17" s="42">
        <f>G17*AO17</f>
        <v>0</v>
      </c>
      <c r="J17" s="42">
        <f>G17*AP17</f>
        <v>0</v>
      </c>
      <c r="K17" s="42">
        <f>G17*H17</f>
        <v>0</v>
      </c>
      <c r="L17" s="63" t="s">
        <v>215</v>
      </c>
      <c r="Z17" s="68">
        <f>IF(AQ17="5",BJ17,0)</f>
        <v>0</v>
      </c>
      <c r="AB17" s="68">
        <f>IF(AQ17="1",BH17,0)</f>
        <v>0</v>
      </c>
      <c r="AC17" s="68">
        <f>IF(AQ17="1",BI17,0)</f>
        <v>0</v>
      </c>
      <c r="AD17" s="68">
        <f>IF(AQ17="7",BH17,0)</f>
        <v>0</v>
      </c>
      <c r="AE17" s="68">
        <f>IF(AQ17="7",BI17,0)</f>
        <v>0</v>
      </c>
      <c r="AF17" s="68">
        <f>IF(AQ17="2",BH17,0)</f>
        <v>0</v>
      </c>
      <c r="AG17" s="68">
        <f>IF(AQ17="2",BI17,0)</f>
        <v>0</v>
      </c>
      <c r="AH17" s="68">
        <f>IF(AQ17="0",BJ17,0)</f>
        <v>0</v>
      </c>
      <c r="AI17" s="62" t="s">
        <v>225</v>
      </c>
      <c r="AJ17" s="42">
        <f>IF(AN17=0,K17,0)</f>
        <v>0</v>
      </c>
      <c r="AK17" s="42">
        <f>IF(AN17=15,K17,0)</f>
        <v>0</v>
      </c>
      <c r="AL17" s="42">
        <f>IF(AN17=21,K17,0)</f>
        <v>0</v>
      </c>
      <c r="AN17" s="68">
        <v>15</v>
      </c>
      <c r="AO17" s="68">
        <f>H17*0.408635547576302</f>
        <v>0</v>
      </c>
      <c r="AP17" s="68">
        <f>H17*(1-0.408635547576302)</f>
        <v>0</v>
      </c>
      <c r="AQ17" s="63" t="s">
        <v>13</v>
      </c>
      <c r="AV17" s="68">
        <f>AW17+AX17</f>
        <v>0</v>
      </c>
      <c r="AW17" s="68">
        <f>G17*AO17</f>
        <v>0</v>
      </c>
      <c r="AX17" s="68">
        <f>G17*AP17</f>
        <v>0</v>
      </c>
      <c r="AY17" s="69" t="s">
        <v>227</v>
      </c>
      <c r="AZ17" s="69" t="s">
        <v>233</v>
      </c>
      <c r="BA17" s="62" t="s">
        <v>237</v>
      </c>
      <c r="BC17" s="68">
        <f>AW17+AX17</f>
        <v>0</v>
      </c>
      <c r="BD17" s="68">
        <f>H17/(100-BE17)*100</f>
        <v>0</v>
      </c>
      <c r="BE17" s="68">
        <v>0</v>
      </c>
      <c r="BF17" s="68">
        <f>17</f>
        <v>17</v>
      </c>
      <c r="BH17" s="42">
        <f>G17*AO17</f>
        <v>0</v>
      </c>
      <c r="BI17" s="42">
        <f>G17*AP17</f>
        <v>0</v>
      </c>
      <c r="BJ17" s="42">
        <f>G17*H17</f>
        <v>0</v>
      </c>
    </row>
    <row r="18" spans="1:62" ht="9" customHeight="1">
      <c r="A18" s="11" t="s">
        <v>11</v>
      </c>
      <c r="B18" s="11" t="s">
        <v>66</v>
      </c>
      <c r="C18" s="11" t="s">
        <v>129</v>
      </c>
      <c r="D18" s="35"/>
      <c r="E18" s="35"/>
      <c r="F18" s="11" t="s">
        <v>189</v>
      </c>
      <c r="G18" s="42">
        <v>5</v>
      </c>
      <c r="H18" s="42">
        <v>0</v>
      </c>
      <c r="I18" s="42">
        <f>G18*AO18</f>
        <v>0</v>
      </c>
      <c r="J18" s="42">
        <f>G18*AP18</f>
        <v>0</v>
      </c>
      <c r="K18" s="42">
        <f>G18*H18</f>
        <v>0</v>
      </c>
      <c r="L18" s="63" t="s">
        <v>215</v>
      </c>
      <c r="Z18" s="68">
        <f>IF(AQ18="5",BJ18,0)</f>
        <v>0</v>
      </c>
      <c r="AB18" s="68">
        <f>IF(AQ18="1",BH18,0)</f>
        <v>0</v>
      </c>
      <c r="AC18" s="68">
        <f>IF(AQ18="1",BI18,0)</f>
        <v>0</v>
      </c>
      <c r="AD18" s="68">
        <f>IF(AQ18="7",BH18,0)</f>
        <v>0</v>
      </c>
      <c r="AE18" s="68">
        <f>IF(AQ18="7",BI18,0)</f>
        <v>0</v>
      </c>
      <c r="AF18" s="68">
        <f>IF(AQ18="2",BH18,0)</f>
        <v>0</v>
      </c>
      <c r="AG18" s="68">
        <f>IF(AQ18="2",BI18,0)</f>
        <v>0</v>
      </c>
      <c r="AH18" s="68">
        <f>IF(AQ18="0",BJ18,0)</f>
        <v>0</v>
      </c>
      <c r="AI18" s="62" t="s">
        <v>225</v>
      </c>
      <c r="AJ18" s="42">
        <f>IF(AN18=0,K18,0)</f>
        <v>0</v>
      </c>
      <c r="AK18" s="42">
        <f>IF(AN18=15,K18,0)</f>
        <v>0</v>
      </c>
      <c r="AL18" s="42">
        <f>IF(AN18=21,K18,0)</f>
        <v>0</v>
      </c>
      <c r="AN18" s="68">
        <v>15</v>
      </c>
      <c r="AO18" s="68">
        <f>H18*0.360685358255452</f>
        <v>0</v>
      </c>
      <c r="AP18" s="68">
        <f>H18*(1-0.360685358255452)</f>
        <v>0</v>
      </c>
      <c r="AQ18" s="63" t="s">
        <v>13</v>
      </c>
      <c r="AV18" s="68">
        <f>AW18+AX18</f>
        <v>0</v>
      </c>
      <c r="AW18" s="68">
        <f>G18*AO18</f>
        <v>0</v>
      </c>
      <c r="AX18" s="68">
        <f>G18*AP18</f>
        <v>0</v>
      </c>
      <c r="AY18" s="69" t="s">
        <v>227</v>
      </c>
      <c r="AZ18" s="69" t="s">
        <v>233</v>
      </c>
      <c r="BA18" s="62" t="s">
        <v>237</v>
      </c>
      <c r="BC18" s="68">
        <f>AW18+AX18</f>
        <v>0</v>
      </c>
      <c r="BD18" s="68">
        <f>H18/(100-BE18)*100</f>
        <v>0</v>
      </c>
      <c r="BE18" s="68">
        <v>0</v>
      </c>
      <c r="BF18" s="68">
        <f>18</f>
        <v>18</v>
      </c>
      <c r="BH18" s="42">
        <f>G18*AO18</f>
        <v>0</v>
      </c>
      <c r="BI18" s="42">
        <f>G18*AP18</f>
        <v>0</v>
      </c>
      <c r="BJ18" s="42">
        <f>G18*H18</f>
        <v>0</v>
      </c>
    </row>
    <row r="19" spans="1:62" ht="9" customHeight="1">
      <c r="A19" s="11" t="s">
        <v>12</v>
      </c>
      <c r="B19" s="11" t="s">
        <v>67</v>
      </c>
      <c r="C19" s="11" t="s">
        <v>130</v>
      </c>
      <c r="D19" s="35"/>
      <c r="E19" s="35"/>
      <c r="F19" s="11" t="s">
        <v>190</v>
      </c>
      <c r="G19" s="42">
        <v>1</v>
      </c>
      <c r="H19" s="42">
        <v>0</v>
      </c>
      <c r="I19" s="42">
        <f>G19*AO19</f>
        <v>0</v>
      </c>
      <c r="J19" s="42">
        <f>G19*AP19</f>
        <v>0</v>
      </c>
      <c r="K19" s="42">
        <f>G19*H19</f>
        <v>0</v>
      </c>
      <c r="L19" s="63" t="s">
        <v>215</v>
      </c>
      <c r="Z19" s="68">
        <f>IF(AQ19="5",BJ19,0)</f>
        <v>0</v>
      </c>
      <c r="AB19" s="68">
        <f>IF(AQ19="1",BH19,0)</f>
        <v>0</v>
      </c>
      <c r="AC19" s="68">
        <f>IF(AQ19="1",BI19,0)</f>
        <v>0</v>
      </c>
      <c r="AD19" s="68">
        <f>IF(AQ19="7",BH19,0)</f>
        <v>0</v>
      </c>
      <c r="AE19" s="68">
        <f>IF(AQ19="7",BI19,0)</f>
        <v>0</v>
      </c>
      <c r="AF19" s="68">
        <f>IF(AQ19="2",BH19,0)</f>
        <v>0</v>
      </c>
      <c r="AG19" s="68">
        <f>IF(AQ19="2",BI19,0)</f>
        <v>0</v>
      </c>
      <c r="AH19" s="68">
        <f>IF(AQ19="0",BJ19,0)</f>
        <v>0</v>
      </c>
      <c r="AI19" s="62" t="s">
        <v>225</v>
      </c>
      <c r="AJ19" s="42">
        <f>IF(AN19=0,K19,0)</f>
        <v>0</v>
      </c>
      <c r="AK19" s="42">
        <f>IF(AN19=15,K19,0)</f>
        <v>0</v>
      </c>
      <c r="AL19" s="42">
        <f>IF(AN19=21,K19,0)</f>
        <v>0</v>
      </c>
      <c r="AN19" s="68">
        <v>15</v>
      </c>
      <c r="AO19" s="68">
        <f>H19*0.436984785615491</f>
        <v>0</v>
      </c>
      <c r="AP19" s="68">
        <f>H19*(1-0.436984785615491)</f>
        <v>0</v>
      </c>
      <c r="AQ19" s="63" t="s">
        <v>13</v>
      </c>
      <c r="AV19" s="68">
        <f>AW19+AX19</f>
        <v>0</v>
      </c>
      <c r="AW19" s="68">
        <f>G19*AO19</f>
        <v>0</v>
      </c>
      <c r="AX19" s="68">
        <f>G19*AP19</f>
        <v>0</v>
      </c>
      <c r="AY19" s="69" t="s">
        <v>227</v>
      </c>
      <c r="AZ19" s="69" t="s">
        <v>233</v>
      </c>
      <c r="BA19" s="62" t="s">
        <v>237</v>
      </c>
      <c r="BC19" s="68">
        <f>AW19+AX19</f>
        <v>0</v>
      </c>
      <c r="BD19" s="68">
        <f>H19/(100-BE19)*100</f>
        <v>0</v>
      </c>
      <c r="BE19" s="68">
        <v>0</v>
      </c>
      <c r="BF19" s="68">
        <f>19</f>
        <v>19</v>
      </c>
      <c r="BH19" s="42">
        <f>G19*AO19</f>
        <v>0</v>
      </c>
      <c r="BI19" s="42">
        <f>G19*AP19</f>
        <v>0</v>
      </c>
      <c r="BJ19" s="42">
        <f>G19*H19</f>
        <v>0</v>
      </c>
    </row>
    <row r="20" spans="1:62" ht="9" customHeight="1">
      <c r="A20" s="11" t="s">
        <v>13</v>
      </c>
      <c r="B20" s="11" t="s">
        <v>68</v>
      </c>
      <c r="C20" s="11" t="s">
        <v>131</v>
      </c>
      <c r="D20" s="35"/>
      <c r="E20" s="35"/>
      <c r="F20" s="11" t="s">
        <v>190</v>
      </c>
      <c r="G20" s="42">
        <v>1</v>
      </c>
      <c r="H20" s="42">
        <v>0</v>
      </c>
      <c r="I20" s="42">
        <f>G20*AO20</f>
        <v>0</v>
      </c>
      <c r="J20" s="42">
        <f>G20*AP20</f>
        <v>0</v>
      </c>
      <c r="K20" s="42">
        <f>G20*H20</f>
        <v>0</v>
      </c>
      <c r="L20" s="63" t="s">
        <v>215</v>
      </c>
      <c r="Z20" s="68">
        <f>IF(AQ20="5",BJ20,0)</f>
        <v>0</v>
      </c>
      <c r="AB20" s="68">
        <f>IF(AQ20="1",BH20,0)</f>
        <v>0</v>
      </c>
      <c r="AC20" s="68">
        <f>IF(AQ20="1",BI20,0)</f>
        <v>0</v>
      </c>
      <c r="AD20" s="68">
        <f>IF(AQ20="7",BH20,0)</f>
        <v>0</v>
      </c>
      <c r="AE20" s="68">
        <f>IF(AQ20="7",BI20,0)</f>
        <v>0</v>
      </c>
      <c r="AF20" s="68">
        <f>IF(AQ20="2",BH20,0)</f>
        <v>0</v>
      </c>
      <c r="AG20" s="68">
        <f>IF(AQ20="2",BI20,0)</f>
        <v>0</v>
      </c>
      <c r="AH20" s="68">
        <f>IF(AQ20="0",BJ20,0)</f>
        <v>0</v>
      </c>
      <c r="AI20" s="62" t="s">
        <v>225</v>
      </c>
      <c r="AJ20" s="42">
        <f>IF(AN20=0,K20,0)</f>
        <v>0</v>
      </c>
      <c r="AK20" s="42">
        <f>IF(AN20=15,K20,0)</f>
        <v>0</v>
      </c>
      <c r="AL20" s="42">
        <f>IF(AN20=21,K20,0)</f>
        <v>0</v>
      </c>
      <c r="AN20" s="68">
        <v>15</v>
      </c>
      <c r="AO20" s="68">
        <f>H20*0.422925531914894</f>
        <v>0</v>
      </c>
      <c r="AP20" s="68">
        <f>H20*(1-0.422925531914894)</f>
        <v>0</v>
      </c>
      <c r="AQ20" s="63" t="s">
        <v>13</v>
      </c>
      <c r="AV20" s="68">
        <f>AW20+AX20</f>
        <v>0</v>
      </c>
      <c r="AW20" s="68">
        <f>G20*AO20</f>
        <v>0</v>
      </c>
      <c r="AX20" s="68">
        <f>G20*AP20</f>
        <v>0</v>
      </c>
      <c r="AY20" s="69" t="s">
        <v>227</v>
      </c>
      <c r="AZ20" s="69" t="s">
        <v>233</v>
      </c>
      <c r="BA20" s="62" t="s">
        <v>237</v>
      </c>
      <c r="BC20" s="68">
        <f>AW20+AX20</f>
        <v>0</v>
      </c>
      <c r="BD20" s="68">
        <f>H20/(100-BE20)*100</f>
        <v>0</v>
      </c>
      <c r="BE20" s="68">
        <v>0</v>
      </c>
      <c r="BF20" s="68">
        <f>20</f>
        <v>20</v>
      </c>
      <c r="BH20" s="42">
        <f>G20*AO20</f>
        <v>0</v>
      </c>
      <c r="BI20" s="42">
        <f>G20*AP20</f>
        <v>0</v>
      </c>
      <c r="BJ20" s="42">
        <f>G20*H20</f>
        <v>0</v>
      </c>
    </row>
    <row r="21" spans="1:62" ht="9" customHeight="1">
      <c r="A21" s="11" t="s">
        <v>14</v>
      </c>
      <c r="B21" s="11" t="s">
        <v>69</v>
      </c>
      <c r="C21" s="11" t="s">
        <v>132</v>
      </c>
      <c r="D21" s="35"/>
      <c r="E21" s="35"/>
      <c r="F21" s="11" t="s">
        <v>189</v>
      </c>
      <c r="G21" s="42">
        <v>4</v>
      </c>
      <c r="H21" s="42">
        <v>0</v>
      </c>
      <c r="I21" s="42">
        <f>G21*AO21</f>
        <v>0</v>
      </c>
      <c r="J21" s="42">
        <f>G21*AP21</f>
        <v>0</v>
      </c>
      <c r="K21" s="42">
        <f>G21*H21</f>
        <v>0</v>
      </c>
      <c r="L21" s="63" t="s">
        <v>215</v>
      </c>
      <c r="Z21" s="68">
        <f>IF(AQ21="5",BJ21,0)</f>
        <v>0</v>
      </c>
      <c r="AB21" s="68">
        <f>IF(AQ21="1",BH21,0)</f>
        <v>0</v>
      </c>
      <c r="AC21" s="68">
        <f>IF(AQ21="1",BI21,0)</f>
        <v>0</v>
      </c>
      <c r="AD21" s="68">
        <f>IF(AQ21="7",BH21,0)</f>
        <v>0</v>
      </c>
      <c r="AE21" s="68">
        <f>IF(AQ21="7",BI21,0)</f>
        <v>0</v>
      </c>
      <c r="AF21" s="68">
        <f>IF(AQ21="2",BH21,0)</f>
        <v>0</v>
      </c>
      <c r="AG21" s="68">
        <f>IF(AQ21="2",BI21,0)</f>
        <v>0</v>
      </c>
      <c r="AH21" s="68">
        <f>IF(AQ21="0",BJ21,0)</f>
        <v>0</v>
      </c>
      <c r="AI21" s="62" t="s">
        <v>225</v>
      </c>
      <c r="AJ21" s="42">
        <f>IF(AN21=0,K21,0)</f>
        <v>0</v>
      </c>
      <c r="AK21" s="42">
        <f>IF(AN21=15,K21,0)</f>
        <v>0</v>
      </c>
      <c r="AL21" s="42">
        <f>IF(AN21=21,K21,0)</f>
        <v>0</v>
      </c>
      <c r="AN21" s="68">
        <v>15</v>
      </c>
      <c r="AO21" s="68">
        <f>H21*0.563296618011403</f>
        <v>0</v>
      </c>
      <c r="AP21" s="68">
        <f>H21*(1-0.563296618011403)</f>
        <v>0</v>
      </c>
      <c r="AQ21" s="63" t="s">
        <v>13</v>
      </c>
      <c r="AV21" s="68">
        <f>AW21+AX21</f>
        <v>0</v>
      </c>
      <c r="AW21" s="68">
        <f>G21*AO21</f>
        <v>0</v>
      </c>
      <c r="AX21" s="68">
        <f>G21*AP21</f>
        <v>0</v>
      </c>
      <c r="AY21" s="69" t="s">
        <v>227</v>
      </c>
      <c r="AZ21" s="69" t="s">
        <v>233</v>
      </c>
      <c r="BA21" s="62" t="s">
        <v>237</v>
      </c>
      <c r="BC21" s="68">
        <f>AW21+AX21</f>
        <v>0</v>
      </c>
      <c r="BD21" s="68">
        <f>H21/(100-BE21)*100</f>
        <v>0</v>
      </c>
      <c r="BE21" s="68">
        <v>0</v>
      </c>
      <c r="BF21" s="68">
        <f>21</f>
        <v>21</v>
      </c>
      <c r="BH21" s="42">
        <f>G21*AO21</f>
        <v>0</v>
      </c>
      <c r="BI21" s="42">
        <f>G21*AP21</f>
        <v>0</v>
      </c>
      <c r="BJ21" s="42">
        <f>G21*H21</f>
        <v>0</v>
      </c>
    </row>
    <row r="22" spans="1:62" ht="9" customHeight="1">
      <c r="A22" s="11" t="s">
        <v>15</v>
      </c>
      <c r="B22" s="11" t="s">
        <v>70</v>
      </c>
      <c r="C22" s="11" t="s">
        <v>133</v>
      </c>
      <c r="D22" s="35"/>
      <c r="E22" s="35"/>
      <c r="F22" s="11" t="s">
        <v>189</v>
      </c>
      <c r="G22" s="42">
        <v>1</v>
      </c>
      <c r="H22" s="42">
        <v>0</v>
      </c>
      <c r="I22" s="42">
        <f>G22*AO22</f>
        <v>0</v>
      </c>
      <c r="J22" s="42">
        <f>G22*AP22</f>
        <v>0</v>
      </c>
      <c r="K22" s="42">
        <f>G22*H22</f>
        <v>0</v>
      </c>
      <c r="L22" s="63" t="s">
        <v>215</v>
      </c>
      <c r="Z22" s="68">
        <f>IF(AQ22="5",BJ22,0)</f>
        <v>0</v>
      </c>
      <c r="AB22" s="68">
        <f>IF(AQ22="1",BH22,0)</f>
        <v>0</v>
      </c>
      <c r="AC22" s="68">
        <f>IF(AQ22="1",BI22,0)</f>
        <v>0</v>
      </c>
      <c r="AD22" s="68">
        <f>IF(AQ22="7",BH22,0)</f>
        <v>0</v>
      </c>
      <c r="AE22" s="68">
        <f>IF(AQ22="7",BI22,0)</f>
        <v>0</v>
      </c>
      <c r="AF22" s="68">
        <f>IF(AQ22="2",BH22,0)</f>
        <v>0</v>
      </c>
      <c r="AG22" s="68">
        <f>IF(AQ22="2",BI22,0)</f>
        <v>0</v>
      </c>
      <c r="AH22" s="68">
        <f>IF(AQ22="0",BJ22,0)</f>
        <v>0</v>
      </c>
      <c r="AI22" s="62" t="s">
        <v>225</v>
      </c>
      <c r="AJ22" s="42">
        <f>IF(AN22=0,K22,0)</f>
        <v>0</v>
      </c>
      <c r="AK22" s="42">
        <f>IF(AN22=15,K22,0)</f>
        <v>0</v>
      </c>
      <c r="AL22" s="42">
        <f>IF(AN22=21,K22,0)</f>
        <v>0</v>
      </c>
      <c r="AN22" s="68">
        <v>15</v>
      </c>
      <c r="AO22" s="68">
        <f>H22*0.640786516853933</f>
        <v>0</v>
      </c>
      <c r="AP22" s="68">
        <f>H22*(1-0.640786516853933)</f>
        <v>0</v>
      </c>
      <c r="AQ22" s="63" t="s">
        <v>13</v>
      </c>
      <c r="AV22" s="68">
        <f>AW22+AX22</f>
        <v>0</v>
      </c>
      <c r="AW22" s="68">
        <f>G22*AO22</f>
        <v>0</v>
      </c>
      <c r="AX22" s="68">
        <f>G22*AP22</f>
        <v>0</v>
      </c>
      <c r="AY22" s="69" t="s">
        <v>227</v>
      </c>
      <c r="AZ22" s="69" t="s">
        <v>233</v>
      </c>
      <c r="BA22" s="62" t="s">
        <v>237</v>
      </c>
      <c r="BC22" s="68">
        <f>AW22+AX22</f>
        <v>0</v>
      </c>
      <c r="BD22" s="68">
        <f>H22/(100-BE22)*100</f>
        <v>0</v>
      </c>
      <c r="BE22" s="68">
        <v>0</v>
      </c>
      <c r="BF22" s="68">
        <f>22</f>
        <v>22</v>
      </c>
      <c r="BH22" s="42">
        <f>G22*AO22</f>
        <v>0</v>
      </c>
      <c r="BI22" s="42">
        <f>G22*AP22</f>
        <v>0</v>
      </c>
      <c r="BJ22" s="42">
        <f>G22*H22</f>
        <v>0</v>
      </c>
    </row>
    <row r="23" spans="1:62" ht="9" customHeight="1">
      <c r="A23" s="11" t="s">
        <v>16</v>
      </c>
      <c r="B23" s="11" t="s">
        <v>71</v>
      </c>
      <c r="C23" s="11" t="s">
        <v>134</v>
      </c>
      <c r="D23" s="35"/>
      <c r="E23" s="35"/>
      <c r="F23" s="11" t="s">
        <v>191</v>
      </c>
      <c r="G23" s="42">
        <v>3</v>
      </c>
      <c r="H23" s="42">
        <v>0</v>
      </c>
      <c r="I23" s="42">
        <f>G23*AO23</f>
        <v>0</v>
      </c>
      <c r="J23" s="42">
        <f>G23*AP23</f>
        <v>0</v>
      </c>
      <c r="K23" s="42">
        <f>G23*H23</f>
        <v>0</v>
      </c>
      <c r="L23" s="63" t="s">
        <v>215</v>
      </c>
      <c r="Z23" s="68">
        <f>IF(AQ23="5",BJ23,0)</f>
        <v>0</v>
      </c>
      <c r="AB23" s="68">
        <f>IF(AQ23="1",BH23,0)</f>
        <v>0</v>
      </c>
      <c r="AC23" s="68">
        <f>IF(AQ23="1",BI23,0)</f>
        <v>0</v>
      </c>
      <c r="AD23" s="68">
        <f>IF(AQ23="7",BH23,0)</f>
        <v>0</v>
      </c>
      <c r="AE23" s="68">
        <f>IF(AQ23="7",BI23,0)</f>
        <v>0</v>
      </c>
      <c r="AF23" s="68">
        <f>IF(AQ23="2",BH23,0)</f>
        <v>0</v>
      </c>
      <c r="AG23" s="68">
        <f>IF(AQ23="2",BI23,0)</f>
        <v>0</v>
      </c>
      <c r="AH23" s="68">
        <f>IF(AQ23="0",BJ23,0)</f>
        <v>0</v>
      </c>
      <c r="AI23" s="62" t="s">
        <v>225</v>
      </c>
      <c r="AJ23" s="42">
        <f>IF(AN23=0,K23,0)</f>
        <v>0</v>
      </c>
      <c r="AK23" s="42">
        <f>IF(AN23=15,K23,0)</f>
        <v>0</v>
      </c>
      <c r="AL23" s="42">
        <f>IF(AN23=21,K23,0)</f>
        <v>0</v>
      </c>
      <c r="AN23" s="68">
        <v>15</v>
      </c>
      <c r="AO23" s="68">
        <f>H23*0.460018507094386</f>
        <v>0</v>
      </c>
      <c r="AP23" s="68">
        <f>H23*(1-0.460018507094386)</f>
        <v>0</v>
      </c>
      <c r="AQ23" s="63" t="s">
        <v>13</v>
      </c>
      <c r="AV23" s="68">
        <f>AW23+AX23</f>
        <v>0</v>
      </c>
      <c r="AW23" s="68">
        <f>G23*AO23</f>
        <v>0</v>
      </c>
      <c r="AX23" s="68">
        <f>G23*AP23</f>
        <v>0</v>
      </c>
      <c r="AY23" s="69" t="s">
        <v>227</v>
      </c>
      <c r="AZ23" s="69" t="s">
        <v>233</v>
      </c>
      <c r="BA23" s="62" t="s">
        <v>237</v>
      </c>
      <c r="BC23" s="68">
        <f>AW23+AX23</f>
        <v>0</v>
      </c>
      <c r="BD23" s="68">
        <f>H23/(100-BE23)*100</f>
        <v>0</v>
      </c>
      <c r="BE23" s="68">
        <v>0</v>
      </c>
      <c r="BF23" s="68">
        <f>23</f>
        <v>23</v>
      </c>
      <c r="BH23" s="42">
        <f>G23*AO23</f>
        <v>0</v>
      </c>
      <c r="BI23" s="42">
        <f>G23*AP23</f>
        <v>0</v>
      </c>
      <c r="BJ23" s="42">
        <f>G23*H23</f>
        <v>0</v>
      </c>
    </row>
    <row r="24" spans="1:62" ht="9" customHeight="1">
      <c r="A24" s="11" t="s">
        <v>17</v>
      </c>
      <c r="B24" s="11" t="s">
        <v>72</v>
      </c>
      <c r="C24" s="11" t="s">
        <v>135</v>
      </c>
      <c r="D24" s="35"/>
      <c r="E24" s="35"/>
      <c r="F24" s="11" t="s">
        <v>191</v>
      </c>
      <c r="G24" s="42">
        <v>3</v>
      </c>
      <c r="H24" s="42">
        <v>0</v>
      </c>
      <c r="I24" s="42">
        <f>G24*AO24</f>
        <v>0</v>
      </c>
      <c r="J24" s="42">
        <f>G24*AP24</f>
        <v>0</v>
      </c>
      <c r="K24" s="42">
        <f>G24*H24</f>
        <v>0</v>
      </c>
      <c r="L24" s="63" t="s">
        <v>215</v>
      </c>
      <c r="Z24" s="68">
        <f>IF(AQ24="5",BJ24,0)</f>
        <v>0</v>
      </c>
      <c r="AB24" s="68">
        <f>IF(AQ24="1",BH24,0)</f>
        <v>0</v>
      </c>
      <c r="AC24" s="68">
        <f>IF(AQ24="1",BI24,0)</f>
        <v>0</v>
      </c>
      <c r="AD24" s="68">
        <f>IF(AQ24="7",BH24,0)</f>
        <v>0</v>
      </c>
      <c r="AE24" s="68">
        <f>IF(AQ24="7",BI24,0)</f>
        <v>0</v>
      </c>
      <c r="AF24" s="68">
        <f>IF(AQ24="2",BH24,0)</f>
        <v>0</v>
      </c>
      <c r="AG24" s="68">
        <f>IF(AQ24="2",BI24,0)</f>
        <v>0</v>
      </c>
      <c r="AH24" s="68">
        <f>IF(AQ24="0",BJ24,0)</f>
        <v>0</v>
      </c>
      <c r="AI24" s="62" t="s">
        <v>225</v>
      </c>
      <c r="AJ24" s="42">
        <f>IF(AN24=0,K24,0)</f>
        <v>0</v>
      </c>
      <c r="AK24" s="42">
        <f>IF(AN24=15,K24,0)</f>
        <v>0</v>
      </c>
      <c r="AL24" s="42">
        <f>IF(AN24=21,K24,0)</f>
        <v>0</v>
      </c>
      <c r="AN24" s="68">
        <v>15</v>
      </c>
      <c r="AO24" s="68">
        <f>H24*0.0708722558177839</f>
        <v>0</v>
      </c>
      <c r="AP24" s="68">
        <f>H24*(1-0.0708722558177839)</f>
        <v>0</v>
      </c>
      <c r="AQ24" s="63" t="s">
        <v>13</v>
      </c>
      <c r="AV24" s="68">
        <f>AW24+AX24</f>
        <v>0</v>
      </c>
      <c r="AW24" s="68">
        <f>G24*AO24</f>
        <v>0</v>
      </c>
      <c r="AX24" s="68">
        <f>G24*AP24</f>
        <v>0</v>
      </c>
      <c r="AY24" s="69" t="s">
        <v>227</v>
      </c>
      <c r="AZ24" s="69" t="s">
        <v>233</v>
      </c>
      <c r="BA24" s="62" t="s">
        <v>237</v>
      </c>
      <c r="BC24" s="68">
        <f>AW24+AX24</f>
        <v>0</v>
      </c>
      <c r="BD24" s="68">
        <f>H24/(100-BE24)*100</f>
        <v>0</v>
      </c>
      <c r="BE24" s="68">
        <v>0</v>
      </c>
      <c r="BF24" s="68">
        <f>24</f>
        <v>24</v>
      </c>
      <c r="BH24" s="42">
        <f>G24*AO24</f>
        <v>0</v>
      </c>
      <c r="BI24" s="42">
        <f>G24*AP24</f>
        <v>0</v>
      </c>
      <c r="BJ24" s="42">
        <f>G24*H24</f>
        <v>0</v>
      </c>
    </row>
    <row r="25" spans="1:62" ht="9" customHeight="1">
      <c r="A25" s="11" t="s">
        <v>18</v>
      </c>
      <c r="B25" s="11" t="s">
        <v>73</v>
      </c>
      <c r="C25" s="11" t="s">
        <v>136</v>
      </c>
      <c r="D25" s="35"/>
      <c r="E25" s="35"/>
      <c r="F25" s="11" t="s">
        <v>192</v>
      </c>
      <c r="G25" s="42">
        <v>4</v>
      </c>
      <c r="H25" s="42">
        <v>0</v>
      </c>
      <c r="I25" s="42">
        <f>G25*AO25</f>
        <v>0</v>
      </c>
      <c r="J25" s="42">
        <f>G25*AP25</f>
        <v>0</v>
      </c>
      <c r="K25" s="42">
        <f>G25*H25</f>
        <v>0</v>
      </c>
      <c r="L25" s="63" t="s">
        <v>215</v>
      </c>
      <c r="Z25" s="68">
        <f>IF(AQ25="5",BJ25,0)</f>
        <v>0</v>
      </c>
      <c r="AB25" s="68">
        <f>IF(AQ25="1",BH25,0)</f>
        <v>0</v>
      </c>
      <c r="AC25" s="68">
        <f>IF(AQ25="1",BI25,0)</f>
        <v>0</v>
      </c>
      <c r="AD25" s="68">
        <f>IF(AQ25="7",BH25,0)</f>
        <v>0</v>
      </c>
      <c r="AE25" s="68">
        <f>IF(AQ25="7",BI25,0)</f>
        <v>0</v>
      </c>
      <c r="AF25" s="68">
        <f>IF(AQ25="2",BH25,0)</f>
        <v>0</v>
      </c>
      <c r="AG25" s="68">
        <f>IF(AQ25="2",BI25,0)</f>
        <v>0</v>
      </c>
      <c r="AH25" s="68">
        <f>IF(AQ25="0",BJ25,0)</f>
        <v>0</v>
      </c>
      <c r="AI25" s="62" t="s">
        <v>225</v>
      </c>
      <c r="AJ25" s="42">
        <f>IF(AN25=0,K25,0)</f>
        <v>0</v>
      </c>
      <c r="AK25" s="42">
        <f>IF(AN25=15,K25,0)</f>
        <v>0</v>
      </c>
      <c r="AL25" s="42">
        <f>IF(AN25=21,K25,0)</f>
        <v>0</v>
      </c>
      <c r="AN25" s="68">
        <v>15</v>
      </c>
      <c r="AO25" s="68">
        <f>H25*0</f>
        <v>0</v>
      </c>
      <c r="AP25" s="68">
        <f>H25*(1-0)</f>
        <v>0</v>
      </c>
      <c r="AQ25" s="63" t="s">
        <v>13</v>
      </c>
      <c r="AV25" s="68">
        <f>AW25+AX25</f>
        <v>0</v>
      </c>
      <c r="AW25" s="68">
        <f>G25*AO25</f>
        <v>0</v>
      </c>
      <c r="AX25" s="68">
        <f>G25*AP25</f>
        <v>0</v>
      </c>
      <c r="AY25" s="69" t="s">
        <v>227</v>
      </c>
      <c r="AZ25" s="69" t="s">
        <v>233</v>
      </c>
      <c r="BA25" s="62" t="s">
        <v>237</v>
      </c>
      <c r="BC25" s="68">
        <f>AW25+AX25</f>
        <v>0</v>
      </c>
      <c r="BD25" s="68">
        <f>H25/(100-BE25)*100</f>
        <v>0</v>
      </c>
      <c r="BE25" s="68">
        <v>0</v>
      </c>
      <c r="BF25" s="68">
        <f>25</f>
        <v>25</v>
      </c>
      <c r="BH25" s="42">
        <f>G25*AO25</f>
        <v>0</v>
      </c>
      <c r="BI25" s="42">
        <f>G25*AP25</f>
        <v>0</v>
      </c>
      <c r="BJ25" s="42">
        <f>G25*H25</f>
        <v>0</v>
      </c>
    </row>
    <row r="26" spans="1:62" ht="9" customHeight="1">
      <c r="A26" s="11" t="s">
        <v>19</v>
      </c>
      <c r="B26" s="11" t="s">
        <v>74</v>
      </c>
      <c r="C26" s="11" t="s">
        <v>137</v>
      </c>
      <c r="D26" s="35"/>
      <c r="E26" s="35"/>
      <c r="F26" s="11" t="s">
        <v>190</v>
      </c>
      <c r="G26" s="42">
        <v>4</v>
      </c>
      <c r="H26" s="42">
        <v>0</v>
      </c>
      <c r="I26" s="42">
        <f>G26*AO26</f>
        <v>0</v>
      </c>
      <c r="J26" s="42">
        <f>G26*AP26</f>
        <v>0</v>
      </c>
      <c r="K26" s="42">
        <f>G26*H26</f>
        <v>0</v>
      </c>
      <c r="L26" s="63" t="s">
        <v>215</v>
      </c>
      <c r="Z26" s="68">
        <f>IF(AQ26="5",BJ26,0)</f>
        <v>0</v>
      </c>
      <c r="AB26" s="68">
        <f>IF(AQ26="1",BH26,0)</f>
        <v>0</v>
      </c>
      <c r="AC26" s="68">
        <f>IF(AQ26="1",BI26,0)</f>
        <v>0</v>
      </c>
      <c r="AD26" s="68">
        <f>IF(AQ26="7",BH26,0)</f>
        <v>0</v>
      </c>
      <c r="AE26" s="68">
        <f>IF(AQ26="7",BI26,0)</f>
        <v>0</v>
      </c>
      <c r="AF26" s="68">
        <f>IF(AQ26="2",BH26,0)</f>
        <v>0</v>
      </c>
      <c r="AG26" s="68">
        <f>IF(AQ26="2",BI26,0)</f>
        <v>0</v>
      </c>
      <c r="AH26" s="68">
        <f>IF(AQ26="0",BJ26,0)</f>
        <v>0</v>
      </c>
      <c r="AI26" s="62" t="s">
        <v>225</v>
      </c>
      <c r="AJ26" s="42">
        <f>IF(AN26=0,K26,0)</f>
        <v>0</v>
      </c>
      <c r="AK26" s="42">
        <f>IF(AN26=15,K26,0)</f>
        <v>0</v>
      </c>
      <c r="AL26" s="42">
        <f>IF(AN26=21,K26,0)</f>
        <v>0</v>
      </c>
      <c r="AN26" s="68">
        <v>15</v>
      </c>
      <c r="AO26" s="68">
        <f>H26*0</f>
        <v>0</v>
      </c>
      <c r="AP26" s="68">
        <f>H26*(1-0)</f>
        <v>0</v>
      </c>
      <c r="AQ26" s="63" t="s">
        <v>13</v>
      </c>
      <c r="AV26" s="68">
        <f>AW26+AX26</f>
        <v>0</v>
      </c>
      <c r="AW26" s="68">
        <f>G26*AO26</f>
        <v>0</v>
      </c>
      <c r="AX26" s="68">
        <f>G26*AP26</f>
        <v>0</v>
      </c>
      <c r="AY26" s="69" t="s">
        <v>227</v>
      </c>
      <c r="AZ26" s="69" t="s">
        <v>233</v>
      </c>
      <c r="BA26" s="62" t="s">
        <v>237</v>
      </c>
      <c r="BC26" s="68">
        <f>AW26+AX26</f>
        <v>0</v>
      </c>
      <c r="BD26" s="68">
        <f>H26/(100-BE26)*100</f>
        <v>0</v>
      </c>
      <c r="BE26" s="68">
        <v>0</v>
      </c>
      <c r="BF26" s="68">
        <f>26</f>
        <v>26</v>
      </c>
      <c r="BH26" s="42">
        <f>G26*AO26</f>
        <v>0</v>
      </c>
      <c r="BI26" s="42">
        <f>G26*AP26</f>
        <v>0</v>
      </c>
      <c r="BJ26" s="42">
        <f>G26*H26</f>
        <v>0</v>
      </c>
    </row>
    <row r="27" spans="1:62" ht="9" customHeight="1">
      <c r="A27" s="11" t="s">
        <v>20</v>
      </c>
      <c r="B27" s="11" t="s">
        <v>75</v>
      </c>
      <c r="C27" s="11" t="s">
        <v>138</v>
      </c>
      <c r="D27" s="35"/>
      <c r="E27" s="35"/>
      <c r="F27" s="11" t="s">
        <v>189</v>
      </c>
      <c r="G27" s="42">
        <v>13</v>
      </c>
      <c r="H27" s="42">
        <v>0</v>
      </c>
      <c r="I27" s="42">
        <f>G27*AO27</f>
        <v>0</v>
      </c>
      <c r="J27" s="42">
        <f>G27*AP27</f>
        <v>0</v>
      </c>
      <c r="K27" s="42">
        <f>G27*H27</f>
        <v>0</v>
      </c>
      <c r="L27" s="63" t="s">
        <v>215</v>
      </c>
      <c r="Z27" s="68">
        <f>IF(AQ27="5",BJ27,0)</f>
        <v>0</v>
      </c>
      <c r="AB27" s="68">
        <f>IF(AQ27="1",BH27,0)</f>
        <v>0</v>
      </c>
      <c r="AC27" s="68">
        <f>IF(AQ27="1",BI27,0)</f>
        <v>0</v>
      </c>
      <c r="AD27" s="68">
        <f>IF(AQ27="7",BH27,0)</f>
        <v>0</v>
      </c>
      <c r="AE27" s="68">
        <f>IF(AQ27="7",BI27,0)</f>
        <v>0</v>
      </c>
      <c r="AF27" s="68">
        <f>IF(AQ27="2",BH27,0)</f>
        <v>0</v>
      </c>
      <c r="AG27" s="68">
        <f>IF(AQ27="2",BI27,0)</f>
        <v>0</v>
      </c>
      <c r="AH27" s="68">
        <f>IF(AQ27="0",BJ27,0)</f>
        <v>0</v>
      </c>
      <c r="AI27" s="62" t="s">
        <v>225</v>
      </c>
      <c r="AJ27" s="42">
        <f>IF(AN27=0,K27,0)</f>
        <v>0</v>
      </c>
      <c r="AK27" s="42">
        <f>IF(AN27=15,K27,0)</f>
        <v>0</v>
      </c>
      <c r="AL27" s="42">
        <f>IF(AN27=21,K27,0)</f>
        <v>0</v>
      </c>
      <c r="AN27" s="68">
        <v>15</v>
      </c>
      <c r="AO27" s="68">
        <f>H27*0.607949182377101</f>
        <v>0</v>
      </c>
      <c r="AP27" s="68">
        <f>H27*(1-0.607949182377101)</f>
        <v>0</v>
      </c>
      <c r="AQ27" s="63" t="s">
        <v>13</v>
      </c>
      <c r="AV27" s="68">
        <f>AW27+AX27</f>
        <v>0</v>
      </c>
      <c r="AW27" s="68">
        <f>G27*AO27</f>
        <v>0</v>
      </c>
      <c r="AX27" s="68">
        <f>G27*AP27</f>
        <v>0</v>
      </c>
      <c r="AY27" s="69" t="s">
        <v>227</v>
      </c>
      <c r="AZ27" s="69" t="s">
        <v>233</v>
      </c>
      <c r="BA27" s="62" t="s">
        <v>237</v>
      </c>
      <c r="BC27" s="68">
        <f>AW27+AX27</f>
        <v>0</v>
      </c>
      <c r="BD27" s="68">
        <f>H27/(100-BE27)*100</f>
        <v>0</v>
      </c>
      <c r="BE27" s="68">
        <v>0</v>
      </c>
      <c r="BF27" s="68">
        <f>27</f>
        <v>27</v>
      </c>
      <c r="BH27" s="42">
        <f>G27*AO27</f>
        <v>0</v>
      </c>
      <c r="BI27" s="42">
        <f>G27*AP27</f>
        <v>0</v>
      </c>
      <c r="BJ27" s="42">
        <f>G27*H27</f>
        <v>0</v>
      </c>
    </row>
    <row r="28" spans="1:62" ht="9" customHeight="1">
      <c r="A28" s="11" t="s">
        <v>21</v>
      </c>
      <c r="B28" s="11" t="s">
        <v>76</v>
      </c>
      <c r="C28" s="11" t="s">
        <v>139</v>
      </c>
      <c r="D28" s="35"/>
      <c r="E28" s="35"/>
      <c r="F28" s="11" t="s">
        <v>189</v>
      </c>
      <c r="G28" s="42">
        <v>4</v>
      </c>
      <c r="H28" s="42">
        <v>0</v>
      </c>
      <c r="I28" s="42">
        <f>G28*AO28</f>
        <v>0</v>
      </c>
      <c r="J28" s="42">
        <f>G28*AP28</f>
        <v>0</v>
      </c>
      <c r="K28" s="42">
        <f>G28*H28</f>
        <v>0</v>
      </c>
      <c r="L28" s="63" t="s">
        <v>215</v>
      </c>
      <c r="Z28" s="68">
        <f>IF(AQ28="5",BJ28,0)</f>
        <v>0</v>
      </c>
      <c r="AB28" s="68">
        <f>IF(AQ28="1",BH28,0)</f>
        <v>0</v>
      </c>
      <c r="AC28" s="68">
        <f>IF(AQ28="1",BI28,0)</f>
        <v>0</v>
      </c>
      <c r="AD28" s="68">
        <f>IF(AQ28="7",BH28,0)</f>
        <v>0</v>
      </c>
      <c r="AE28" s="68">
        <f>IF(AQ28="7",BI28,0)</f>
        <v>0</v>
      </c>
      <c r="AF28" s="68">
        <f>IF(AQ28="2",BH28,0)</f>
        <v>0</v>
      </c>
      <c r="AG28" s="68">
        <f>IF(AQ28="2",BI28,0)</f>
        <v>0</v>
      </c>
      <c r="AH28" s="68">
        <f>IF(AQ28="0",BJ28,0)</f>
        <v>0</v>
      </c>
      <c r="AI28" s="62" t="s">
        <v>225</v>
      </c>
      <c r="AJ28" s="42">
        <f>IF(AN28=0,K28,0)</f>
        <v>0</v>
      </c>
      <c r="AK28" s="42">
        <f>IF(AN28=15,K28,0)</f>
        <v>0</v>
      </c>
      <c r="AL28" s="42">
        <f>IF(AN28=21,K28,0)</f>
        <v>0</v>
      </c>
      <c r="AN28" s="68">
        <v>15</v>
      </c>
      <c r="AO28" s="68">
        <f>H28*0.640021715526602</f>
        <v>0</v>
      </c>
      <c r="AP28" s="68">
        <f>H28*(1-0.640021715526602)</f>
        <v>0</v>
      </c>
      <c r="AQ28" s="63" t="s">
        <v>13</v>
      </c>
      <c r="AV28" s="68">
        <f>AW28+AX28</f>
        <v>0</v>
      </c>
      <c r="AW28" s="68">
        <f>G28*AO28</f>
        <v>0</v>
      </c>
      <c r="AX28" s="68">
        <f>G28*AP28</f>
        <v>0</v>
      </c>
      <c r="AY28" s="69" t="s">
        <v>227</v>
      </c>
      <c r="AZ28" s="69" t="s">
        <v>233</v>
      </c>
      <c r="BA28" s="62" t="s">
        <v>237</v>
      </c>
      <c r="BC28" s="68">
        <f>AW28+AX28</f>
        <v>0</v>
      </c>
      <c r="BD28" s="68">
        <f>H28/(100-BE28)*100</f>
        <v>0</v>
      </c>
      <c r="BE28" s="68">
        <v>0</v>
      </c>
      <c r="BF28" s="68">
        <f>28</f>
        <v>28</v>
      </c>
      <c r="BH28" s="42">
        <f>G28*AO28</f>
        <v>0</v>
      </c>
      <c r="BI28" s="42">
        <f>G28*AP28</f>
        <v>0</v>
      </c>
      <c r="BJ28" s="42">
        <f>G28*H28</f>
        <v>0</v>
      </c>
    </row>
    <row r="29" spans="1:62" ht="9" customHeight="1">
      <c r="A29" s="11" t="s">
        <v>22</v>
      </c>
      <c r="B29" s="11" t="s">
        <v>77</v>
      </c>
      <c r="C29" s="11" t="s">
        <v>140</v>
      </c>
      <c r="D29" s="35"/>
      <c r="E29" s="35"/>
      <c r="F29" s="11" t="s">
        <v>189</v>
      </c>
      <c r="G29" s="42">
        <v>16</v>
      </c>
      <c r="H29" s="42">
        <v>0</v>
      </c>
      <c r="I29" s="42">
        <f>G29*AO29</f>
        <v>0</v>
      </c>
      <c r="J29" s="42">
        <f>G29*AP29</f>
        <v>0</v>
      </c>
      <c r="K29" s="42">
        <f>G29*H29</f>
        <v>0</v>
      </c>
      <c r="L29" s="63" t="s">
        <v>215</v>
      </c>
      <c r="Z29" s="68">
        <f>IF(AQ29="5",BJ29,0)</f>
        <v>0</v>
      </c>
      <c r="AB29" s="68">
        <f>IF(AQ29="1",BH29,0)</f>
        <v>0</v>
      </c>
      <c r="AC29" s="68">
        <f>IF(AQ29="1",BI29,0)</f>
        <v>0</v>
      </c>
      <c r="AD29" s="68">
        <f>IF(AQ29="7",BH29,0)</f>
        <v>0</v>
      </c>
      <c r="AE29" s="68">
        <f>IF(AQ29="7",BI29,0)</f>
        <v>0</v>
      </c>
      <c r="AF29" s="68">
        <f>IF(AQ29="2",BH29,0)</f>
        <v>0</v>
      </c>
      <c r="AG29" s="68">
        <f>IF(AQ29="2",BI29,0)</f>
        <v>0</v>
      </c>
      <c r="AH29" s="68">
        <f>IF(AQ29="0",BJ29,0)</f>
        <v>0</v>
      </c>
      <c r="AI29" s="62" t="s">
        <v>225</v>
      </c>
      <c r="AJ29" s="42">
        <f>IF(AN29=0,K29,0)</f>
        <v>0</v>
      </c>
      <c r="AK29" s="42">
        <f>IF(AN29=15,K29,0)</f>
        <v>0</v>
      </c>
      <c r="AL29" s="42">
        <f>IF(AN29=21,K29,0)</f>
        <v>0</v>
      </c>
      <c r="AN29" s="68">
        <v>15</v>
      </c>
      <c r="AO29" s="68">
        <f>H29*0.734</f>
        <v>0</v>
      </c>
      <c r="AP29" s="68">
        <f>H29*(1-0.734)</f>
        <v>0</v>
      </c>
      <c r="AQ29" s="63" t="s">
        <v>13</v>
      </c>
      <c r="AV29" s="68">
        <f>AW29+AX29</f>
        <v>0</v>
      </c>
      <c r="AW29" s="68">
        <f>G29*AO29</f>
        <v>0</v>
      </c>
      <c r="AX29" s="68">
        <f>G29*AP29</f>
        <v>0</v>
      </c>
      <c r="AY29" s="69" t="s">
        <v>227</v>
      </c>
      <c r="AZ29" s="69" t="s">
        <v>233</v>
      </c>
      <c r="BA29" s="62" t="s">
        <v>237</v>
      </c>
      <c r="BC29" s="68">
        <f>AW29+AX29</f>
        <v>0</v>
      </c>
      <c r="BD29" s="68">
        <f>H29/(100-BE29)*100</f>
        <v>0</v>
      </c>
      <c r="BE29" s="68">
        <v>0</v>
      </c>
      <c r="BF29" s="68">
        <f>29</f>
        <v>29</v>
      </c>
      <c r="BH29" s="42">
        <f>G29*AO29</f>
        <v>0</v>
      </c>
      <c r="BI29" s="42">
        <f>G29*AP29</f>
        <v>0</v>
      </c>
      <c r="BJ29" s="42">
        <f>G29*H29</f>
        <v>0</v>
      </c>
    </row>
    <row r="30" spans="1:62" ht="9" customHeight="1">
      <c r="A30" s="11" t="s">
        <v>23</v>
      </c>
      <c r="B30" s="11" t="s">
        <v>78</v>
      </c>
      <c r="C30" s="11" t="s">
        <v>141</v>
      </c>
      <c r="D30" s="35"/>
      <c r="E30" s="35"/>
      <c r="F30" s="11" t="s">
        <v>190</v>
      </c>
      <c r="G30" s="42">
        <v>5</v>
      </c>
      <c r="H30" s="42">
        <v>0</v>
      </c>
      <c r="I30" s="42">
        <f>G30*AO30</f>
        <v>0</v>
      </c>
      <c r="J30" s="42">
        <f>G30*AP30</f>
        <v>0</v>
      </c>
      <c r="K30" s="42">
        <f>G30*H30</f>
        <v>0</v>
      </c>
      <c r="L30" s="63" t="s">
        <v>215</v>
      </c>
      <c r="Z30" s="68">
        <f>IF(AQ30="5",BJ30,0)</f>
        <v>0</v>
      </c>
      <c r="AB30" s="68">
        <f>IF(AQ30="1",BH30,0)</f>
        <v>0</v>
      </c>
      <c r="AC30" s="68">
        <f>IF(AQ30="1",BI30,0)</f>
        <v>0</v>
      </c>
      <c r="AD30" s="68">
        <f>IF(AQ30="7",BH30,0)</f>
        <v>0</v>
      </c>
      <c r="AE30" s="68">
        <f>IF(AQ30="7",BI30,0)</f>
        <v>0</v>
      </c>
      <c r="AF30" s="68">
        <f>IF(AQ30="2",BH30,0)</f>
        <v>0</v>
      </c>
      <c r="AG30" s="68">
        <f>IF(AQ30="2",BI30,0)</f>
        <v>0</v>
      </c>
      <c r="AH30" s="68">
        <f>IF(AQ30="0",BJ30,0)</f>
        <v>0</v>
      </c>
      <c r="AI30" s="62" t="s">
        <v>225</v>
      </c>
      <c r="AJ30" s="42">
        <f>IF(AN30=0,K30,0)</f>
        <v>0</v>
      </c>
      <c r="AK30" s="42">
        <f>IF(AN30=15,K30,0)</f>
        <v>0</v>
      </c>
      <c r="AL30" s="42">
        <f>IF(AN30=21,K30,0)</f>
        <v>0</v>
      </c>
      <c r="AN30" s="68">
        <v>15</v>
      </c>
      <c r="AO30" s="68">
        <f>H30*0</f>
        <v>0</v>
      </c>
      <c r="AP30" s="68">
        <f>H30*(1-0)</f>
        <v>0</v>
      </c>
      <c r="AQ30" s="63" t="s">
        <v>13</v>
      </c>
      <c r="AV30" s="68">
        <f>AW30+AX30</f>
        <v>0</v>
      </c>
      <c r="AW30" s="68">
        <f>G30*AO30</f>
        <v>0</v>
      </c>
      <c r="AX30" s="68">
        <f>G30*AP30</f>
        <v>0</v>
      </c>
      <c r="AY30" s="69" t="s">
        <v>227</v>
      </c>
      <c r="AZ30" s="69" t="s">
        <v>233</v>
      </c>
      <c r="BA30" s="62" t="s">
        <v>237</v>
      </c>
      <c r="BC30" s="68">
        <f>AW30+AX30</f>
        <v>0</v>
      </c>
      <c r="BD30" s="68">
        <f>H30/(100-BE30)*100</f>
        <v>0</v>
      </c>
      <c r="BE30" s="68">
        <v>0</v>
      </c>
      <c r="BF30" s="68">
        <f>30</f>
        <v>30</v>
      </c>
      <c r="BH30" s="42">
        <f>G30*AO30</f>
        <v>0</v>
      </c>
      <c r="BI30" s="42">
        <f>G30*AP30</f>
        <v>0</v>
      </c>
      <c r="BJ30" s="42">
        <f>G30*H30</f>
        <v>0</v>
      </c>
    </row>
    <row r="31" spans="1:62" ht="9" customHeight="1">
      <c r="A31" s="11" t="s">
        <v>24</v>
      </c>
      <c r="B31" s="11" t="s">
        <v>79</v>
      </c>
      <c r="C31" s="11" t="s">
        <v>142</v>
      </c>
      <c r="D31" s="35"/>
      <c r="E31" s="35"/>
      <c r="F31" s="11" t="s">
        <v>190</v>
      </c>
      <c r="G31" s="42">
        <v>18</v>
      </c>
      <c r="H31" s="42">
        <v>0</v>
      </c>
      <c r="I31" s="42">
        <f>G31*AO31</f>
        <v>0</v>
      </c>
      <c r="J31" s="42">
        <f>G31*AP31</f>
        <v>0</v>
      </c>
      <c r="K31" s="42">
        <f>G31*H31</f>
        <v>0</v>
      </c>
      <c r="L31" s="63" t="s">
        <v>215</v>
      </c>
      <c r="Z31" s="68">
        <f>IF(AQ31="5",BJ31,0)</f>
        <v>0</v>
      </c>
      <c r="AB31" s="68">
        <f>IF(AQ31="1",BH31,0)</f>
        <v>0</v>
      </c>
      <c r="AC31" s="68">
        <f>IF(AQ31="1",BI31,0)</f>
        <v>0</v>
      </c>
      <c r="AD31" s="68">
        <f>IF(AQ31="7",BH31,0)</f>
        <v>0</v>
      </c>
      <c r="AE31" s="68">
        <f>IF(AQ31="7",BI31,0)</f>
        <v>0</v>
      </c>
      <c r="AF31" s="68">
        <f>IF(AQ31="2",BH31,0)</f>
        <v>0</v>
      </c>
      <c r="AG31" s="68">
        <f>IF(AQ31="2",BI31,0)</f>
        <v>0</v>
      </c>
      <c r="AH31" s="68">
        <f>IF(AQ31="0",BJ31,0)</f>
        <v>0</v>
      </c>
      <c r="AI31" s="62" t="s">
        <v>225</v>
      </c>
      <c r="AJ31" s="42">
        <f>IF(AN31=0,K31,0)</f>
        <v>0</v>
      </c>
      <c r="AK31" s="42">
        <f>IF(AN31=15,K31,0)</f>
        <v>0</v>
      </c>
      <c r="AL31" s="42">
        <f>IF(AN31=21,K31,0)</f>
        <v>0</v>
      </c>
      <c r="AN31" s="68">
        <v>15</v>
      </c>
      <c r="AO31" s="68">
        <f>H31*0</f>
        <v>0</v>
      </c>
      <c r="AP31" s="68">
        <f>H31*(1-0)</f>
        <v>0</v>
      </c>
      <c r="AQ31" s="63" t="s">
        <v>13</v>
      </c>
      <c r="AV31" s="68">
        <f>AW31+AX31</f>
        <v>0</v>
      </c>
      <c r="AW31" s="68">
        <f>G31*AO31</f>
        <v>0</v>
      </c>
      <c r="AX31" s="68">
        <f>G31*AP31</f>
        <v>0</v>
      </c>
      <c r="AY31" s="69" t="s">
        <v>227</v>
      </c>
      <c r="AZ31" s="69" t="s">
        <v>233</v>
      </c>
      <c r="BA31" s="62" t="s">
        <v>237</v>
      </c>
      <c r="BC31" s="68">
        <f>AW31+AX31</f>
        <v>0</v>
      </c>
      <c r="BD31" s="68">
        <f>H31/(100-BE31)*100</f>
        <v>0</v>
      </c>
      <c r="BE31" s="68">
        <v>0</v>
      </c>
      <c r="BF31" s="68">
        <f>31</f>
        <v>31</v>
      </c>
      <c r="BH31" s="42">
        <f>G31*AO31</f>
        <v>0</v>
      </c>
      <c r="BI31" s="42">
        <f>G31*AP31</f>
        <v>0</v>
      </c>
      <c r="BJ31" s="42">
        <f>G31*H31</f>
        <v>0</v>
      </c>
    </row>
    <row r="32" spans="1:62" ht="9" customHeight="1">
      <c r="A32" s="11" t="s">
        <v>25</v>
      </c>
      <c r="B32" s="11" t="s">
        <v>80</v>
      </c>
      <c r="C32" s="11" t="s">
        <v>143</v>
      </c>
      <c r="D32" s="35"/>
      <c r="E32" s="35"/>
      <c r="F32" s="11" t="s">
        <v>190</v>
      </c>
      <c r="G32" s="42">
        <v>16</v>
      </c>
      <c r="H32" s="42">
        <v>0</v>
      </c>
      <c r="I32" s="42">
        <f>G32*AO32</f>
        <v>0</v>
      </c>
      <c r="J32" s="42">
        <f>G32*AP32</f>
        <v>0</v>
      </c>
      <c r="K32" s="42">
        <f>G32*H32</f>
        <v>0</v>
      </c>
      <c r="L32" s="63" t="s">
        <v>215</v>
      </c>
      <c r="Z32" s="68">
        <f>IF(AQ32="5",BJ32,0)</f>
        <v>0</v>
      </c>
      <c r="AB32" s="68">
        <f>IF(AQ32="1",BH32,0)</f>
        <v>0</v>
      </c>
      <c r="AC32" s="68">
        <f>IF(AQ32="1",BI32,0)</f>
        <v>0</v>
      </c>
      <c r="AD32" s="68">
        <f>IF(AQ32="7",BH32,0)</f>
        <v>0</v>
      </c>
      <c r="AE32" s="68">
        <f>IF(AQ32="7",BI32,0)</f>
        <v>0</v>
      </c>
      <c r="AF32" s="68">
        <f>IF(AQ32="2",BH32,0)</f>
        <v>0</v>
      </c>
      <c r="AG32" s="68">
        <f>IF(AQ32="2",BI32,0)</f>
        <v>0</v>
      </c>
      <c r="AH32" s="68">
        <f>IF(AQ32="0",BJ32,0)</f>
        <v>0</v>
      </c>
      <c r="AI32" s="62" t="s">
        <v>225</v>
      </c>
      <c r="AJ32" s="42">
        <f>IF(AN32=0,K32,0)</f>
        <v>0</v>
      </c>
      <c r="AK32" s="42">
        <f>IF(AN32=15,K32,0)</f>
        <v>0</v>
      </c>
      <c r="AL32" s="42">
        <f>IF(AN32=21,K32,0)</f>
        <v>0</v>
      </c>
      <c r="AN32" s="68">
        <v>15</v>
      </c>
      <c r="AO32" s="68">
        <f>H32*0</f>
        <v>0</v>
      </c>
      <c r="AP32" s="68">
        <f>H32*(1-0)</f>
        <v>0</v>
      </c>
      <c r="AQ32" s="63" t="s">
        <v>13</v>
      </c>
      <c r="AV32" s="68">
        <f>AW32+AX32</f>
        <v>0</v>
      </c>
      <c r="AW32" s="68">
        <f>G32*AO32</f>
        <v>0</v>
      </c>
      <c r="AX32" s="68">
        <f>G32*AP32</f>
        <v>0</v>
      </c>
      <c r="AY32" s="69" t="s">
        <v>227</v>
      </c>
      <c r="AZ32" s="69" t="s">
        <v>233</v>
      </c>
      <c r="BA32" s="62" t="s">
        <v>237</v>
      </c>
      <c r="BC32" s="68">
        <f>AW32+AX32</f>
        <v>0</v>
      </c>
      <c r="BD32" s="68">
        <f>H32/(100-BE32)*100</f>
        <v>0</v>
      </c>
      <c r="BE32" s="68">
        <v>0</v>
      </c>
      <c r="BF32" s="68">
        <f>32</f>
        <v>32</v>
      </c>
      <c r="BH32" s="42">
        <f>G32*AO32</f>
        <v>0</v>
      </c>
      <c r="BI32" s="42">
        <f>G32*AP32</f>
        <v>0</v>
      </c>
      <c r="BJ32" s="42">
        <f>G32*H32</f>
        <v>0</v>
      </c>
    </row>
    <row r="33" spans="1:62" ht="9" customHeight="1">
      <c r="A33" s="11" t="s">
        <v>26</v>
      </c>
      <c r="B33" s="11" t="s">
        <v>81</v>
      </c>
      <c r="C33" s="11" t="s">
        <v>144</v>
      </c>
      <c r="D33" s="35"/>
      <c r="E33" s="35"/>
      <c r="F33" s="11" t="s">
        <v>190</v>
      </c>
      <c r="G33" s="42">
        <v>3</v>
      </c>
      <c r="H33" s="42">
        <v>0</v>
      </c>
      <c r="I33" s="42">
        <f>G33*AO33</f>
        <v>0</v>
      </c>
      <c r="J33" s="42">
        <f>G33*AP33</f>
        <v>0</v>
      </c>
      <c r="K33" s="42">
        <f>G33*H33</f>
        <v>0</v>
      </c>
      <c r="L33" s="63" t="s">
        <v>215</v>
      </c>
      <c r="Z33" s="68">
        <f>IF(AQ33="5",BJ33,0)</f>
        <v>0</v>
      </c>
      <c r="AB33" s="68">
        <f>IF(AQ33="1",BH33,0)</f>
        <v>0</v>
      </c>
      <c r="AC33" s="68">
        <f>IF(AQ33="1",BI33,0)</f>
        <v>0</v>
      </c>
      <c r="AD33" s="68">
        <f>IF(AQ33="7",BH33,0)</f>
        <v>0</v>
      </c>
      <c r="AE33" s="68">
        <f>IF(AQ33="7",BI33,0)</f>
        <v>0</v>
      </c>
      <c r="AF33" s="68">
        <f>IF(AQ33="2",BH33,0)</f>
        <v>0</v>
      </c>
      <c r="AG33" s="68">
        <f>IF(AQ33="2",BI33,0)</f>
        <v>0</v>
      </c>
      <c r="AH33" s="68">
        <f>IF(AQ33="0",BJ33,0)</f>
        <v>0</v>
      </c>
      <c r="AI33" s="62" t="s">
        <v>225</v>
      </c>
      <c r="AJ33" s="42">
        <f>IF(AN33=0,K33,0)</f>
        <v>0</v>
      </c>
      <c r="AK33" s="42">
        <f>IF(AN33=15,K33,0)</f>
        <v>0</v>
      </c>
      <c r="AL33" s="42">
        <f>IF(AN33=21,K33,0)</f>
        <v>0</v>
      </c>
      <c r="AN33" s="68">
        <v>15</v>
      </c>
      <c r="AO33" s="68">
        <f>H33*0</f>
        <v>0</v>
      </c>
      <c r="AP33" s="68">
        <f>H33*(1-0)</f>
        <v>0</v>
      </c>
      <c r="AQ33" s="63" t="s">
        <v>13</v>
      </c>
      <c r="AV33" s="68">
        <f>AW33+AX33</f>
        <v>0</v>
      </c>
      <c r="AW33" s="68">
        <f>G33*AO33</f>
        <v>0</v>
      </c>
      <c r="AX33" s="68">
        <f>G33*AP33</f>
        <v>0</v>
      </c>
      <c r="AY33" s="69" t="s">
        <v>227</v>
      </c>
      <c r="AZ33" s="69" t="s">
        <v>233</v>
      </c>
      <c r="BA33" s="62" t="s">
        <v>237</v>
      </c>
      <c r="BC33" s="68">
        <f>AW33+AX33</f>
        <v>0</v>
      </c>
      <c r="BD33" s="68">
        <f>H33/(100-BE33)*100</f>
        <v>0</v>
      </c>
      <c r="BE33" s="68">
        <v>0</v>
      </c>
      <c r="BF33" s="68">
        <f>33</f>
        <v>33</v>
      </c>
      <c r="BH33" s="42">
        <f>G33*AO33</f>
        <v>0</v>
      </c>
      <c r="BI33" s="42">
        <f>G33*AP33</f>
        <v>0</v>
      </c>
      <c r="BJ33" s="42">
        <f>G33*H33</f>
        <v>0</v>
      </c>
    </row>
    <row r="34" spans="1:62" ht="9" customHeight="1">
      <c r="A34" s="11" t="s">
        <v>27</v>
      </c>
      <c r="B34" s="11" t="s">
        <v>82</v>
      </c>
      <c r="C34" s="11" t="s">
        <v>145</v>
      </c>
      <c r="D34" s="35"/>
      <c r="E34" s="35"/>
      <c r="F34" s="11" t="s">
        <v>191</v>
      </c>
      <c r="G34" s="42">
        <v>1</v>
      </c>
      <c r="H34" s="42">
        <v>0</v>
      </c>
      <c r="I34" s="42">
        <f>G34*AO34</f>
        <v>0</v>
      </c>
      <c r="J34" s="42">
        <f>G34*AP34</f>
        <v>0</v>
      </c>
      <c r="K34" s="42">
        <f>G34*H34</f>
        <v>0</v>
      </c>
      <c r="L34" s="63" t="s">
        <v>215</v>
      </c>
      <c r="Z34" s="68">
        <f>IF(AQ34="5",BJ34,0)</f>
        <v>0</v>
      </c>
      <c r="AB34" s="68">
        <f>IF(AQ34="1",BH34,0)</f>
        <v>0</v>
      </c>
      <c r="AC34" s="68">
        <f>IF(AQ34="1",BI34,0)</f>
        <v>0</v>
      </c>
      <c r="AD34" s="68">
        <f>IF(AQ34="7",BH34,0)</f>
        <v>0</v>
      </c>
      <c r="AE34" s="68">
        <f>IF(AQ34="7",BI34,0)</f>
        <v>0</v>
      </c>
      <c r="AF34" s="68">
        <f>IF(AQ34="2",BH34,0)</f>
        <v>0</v>
      </c>
      <c r="AG34" s="68">
        <f>IF(AQ34="2",BI34,0)</f>
        <v>0</v>
      </c>
      <c r="AH34" s="68">
        <f>IF(AQ34="0",BJ34,0)</f>
        <v>0</v>
      </c>
      <c r="AI34" s="62" t="s">
        <v>225</v>
      </c>
      <c r="AJ34" s="42">
        <f>IF(AN34=0,K34,0)</f>
        <v>0</v>
      </c>
      <c r="AK34" s="42">
        <f>IF(AN34=15,K34,0)</f>
        <v>0</v>
      </c>
      <c r="AL34" s="42">
        <f>IF(AN34=21,K34,0)</f>
        <v>0</v>
      </c>
      <c r="AN34" s="68">
        <v>15</v>
      </c>
      <c r="AO34" s="68">
        <f>H34*0.638663473053892</f>
        <v>0</v>
      </c>
      <c r="AP34" s="68">
        <f>H34*(1-0.638663473053892)</f>
        <v>0</v>
      </c>
      <c r="AQ34" s="63" t="s">
        <v>13</v>
      </c>
      <c r="AV34" s="68">
        <f>AW34+AX34</f>
        <v>0</v>
      </c>
      <c r="AW34" s="68">
        <f>G34*AO34</f>
        <v>0</v>
      </c>
      <c r="AX34" s="68">
        <f>G34*AP34</f>
        <v>0</v>
      </c>
      <c r="AY34" s="69" t="s">
        <v>227</v>
      </c>
      <c r="AZ34" s="69" t="s">
        <v>233</v>
      </c>
      <c r="BA34" s="62" t="s">
        <v>237</v>
      </c>
      <c r="BC34" s="68">
        <f>AW34+AX34</f>
        <v>0</v>
      </c>
      <c r="BD34" s="68">
        <f>H34/(100-BE34)*100</f>
        <v>0</v>
      </c>
      <c r="BE34" s="68">
        <v>0</v>
      </c>
      <c r="BF34" s="68">
        <f>34</f>
        <v>34</v>
      </c>
      <c r="BH34" s="42">
        <f>G34*AO34</f>
        <v>0</v>
      </c>
      <c r="BI34" s="42">
        <f>G34*AP34</f>
        <v>0</v>
      </c>
      <c r="BJ34" s="42">
        <f>G34*H34</f>
        <v>0</v>
      </c>
    </row>
    <row r="35" spans="1:62" ht="9" customHeight="1">
      <c r="A35" s="11" t="s">
        <v>28</v>
      </c>
      <c r="B35" s="11" t="s">
        <v>83</v>
      </c>
      <c r="C35" s="11" t="s">
        <v>146</v>
      </c>
      <c r="D35" s="35"/>
      <c r="E35" s="35"/>
      <c r="F35" s="11" t="s">
        <v>190</v>
      </c>
      <c r="G35" s="42">
        <v>5</v>
      </c>
      <c r="H35" s="42">
        <v>0</v>
      </c>
      <c r="I35" s="42">
        <f>G35*AO35</f>
        <v>0</v>
      </c>
      <c r="J35" s="42">
        <f>G35*AP35</f>
        <v>0</v>
      </c>
      <c r="K35" s="42">
        <f>G35*H35</f>
        <v>0</v>
      </c>
      <c r="L35" s="63" t="s">
        <v>215</v>
      </c>
      <c r="Z35" s="68">
        <f>IF(AQ35="5",BJ35,0)</f>
        <v>0</v>
      </c>
      <c r="AB35" s="68">
        <f>IF(AQ35="1",BH35,0)</f>
        <v>0</v>
      </c>
      <c r="AC35" s="68">
        <f>IF(AQ35="1",BI35,0)</f>
        <v>0</v>
      </c>
      <c r="AD35" s="68">
        <f>IF(AQ35="7",BH35,0)</f>
        <v>0</v>
      </c>
      <c r="AE35" s="68">
        <f>IF(AQ35="7",BI35,0)</f>
        <v>0</v>
      </c>
      <c r="AF35" s="68">
        <f>IF(AQ35="2",BH35,0)</f>
        <v>0</v>
      </c>
      <c r="AG35" s="68">
        <f>IF(AQ35="2",BI35,0)</f>
        <v>0</v>
      </c>
      <c r="AH35" s="68">
        <f>IF(AQ35="0",BJ35,0)</f>
        <v>0</v>
      </c>
      <c r="AI35" s="62" t="s">
        <v>225</v>
      </c>
      <c r="AJ35" s="42">
        <f>IF(AN35=0,K35,0)</f>
        <v>0</v>
      </c>
      <c r="AK35" s="42">
        <f>IF(AN35=15,K35,0)</f>
        <v>0</v>
      </c>
      <c r="AL35" s="42">
        <f>IF(AN35=21,K35,0)</f>
        <v>0</v>
      </c>
      <c r="AN35" s="68">
        <v>15</v>
      </c>
      <c r="AO35" s="68">
        <f>H35*0.347261724659607</f>
        <v>0</v>
      </c>
      <c r="AP35" s="68">
        <f>H35*(1-0.347261724659607)</f>
        <v>0</v>
      </c>
      <c r="AQ35" s="63" t="s">
        <v>13</v>
      </c>
      <c r="AV35" s="68">
        <f>AW35+AX35</f>
        <v>0</v>
      </c>
      <c r="AW35" s="68">
        <f>G35*AO35</f>
        <v>0</v>
      </c>
      <c r="AX35" s="68">
        <f>G35*AP35</f>
        <v>0</v>
      </c>
      <c r="AY35" s="69" t="s">
        <v>227</v>
      </c>
      <c r="AZ35" s="69" t="s">
        <v>233</v>
      </c>
      <c r="BA35" s="62" t="s">
        <v>237</v>
      </c>
      <c r="BC35" s="68">
        <f>AW35+AX35</f>
        <v>0</v>
      </c>
      <c r="BD35" s="68">
        <f>H35/(100-BE35)*100</f>
        <v>0</v>
      </c>
      <c r="BE35" s="68">
        <v>0</v>
      </c>
      <c r="BF35" s="68">
        <f>35</f>
        <v>35</v>
      </c>
      <c r="BH35" s="42">
        <f>G35*AO35</f>
        <v>0</v>
      </c>
      <c r="BI35" s="42">
        <f>G35*AP35</f>
        <v>0</v>
      </c>
      <c r="BJ35" s="42">
        <f>G35*H35</f>
        <v>0</v>
      </c>
    </row>
    <row r="36" spans="1:62" ht="9" customHeight="1">
      <c r="A36" s="11" t="s">
        <v>29</v>
      </c>
      <c r="B36" s="11" t="s">
        <v>84</v>
      </c>
      <c r="C36" s="11" t="s">
        <v>147</v>
      </c>
      <c r="D36" s="35"/>
      <c r="E36" s="35"/>
      <c r="F36" s="11" t="s">
        <v>190</v>
      </c>
      <c r="G36" s="42">
        <v>3</v>
      </c>
      <c r="H36" s="42">
        <v>0</v>
      </c>
      <c r="I36" s="42">
        <f>G36*AO36</f>
        <v>0</v>
      </c>
      <c r="J36" s="42">
        <f>G36*AP36</f>
        <v>0</v>
      </c>
      <c r="K36" s="42">
        <f>G36*H36</f>
        <v>0</v>
      </c>
      <c r="L36" s="63" t="s">
        <v>215</v>
      </c>
      <c r="Z36" s="68">
        <f>IF(AQ36="5",BJ36,0)</f>
        <v>0</v>
      </c>
      <c r="AB36" s="68">
        <f>IF(AQ36="1",BH36,0)</f>
        <v>0</v>
      </c>
      <c r="AC36" s="68">
        <f>IF(AQ36="1",BI36,0)</f>
        <v>0</v>
      </c>
      <c r="AD36" s="68">
        <f>IF(AQ36="7",BH36,0)</f>
        <v>0</v>
      </c>
      <c r="AE36" s="68">
        <f>IF(AQ36="7",BI36,0)</f>
        <v>0</v>
      </c>
      <c r="AF36" s="68">
        <f>IF(AQ36="2",BH36,0)</f>
        <v>0</v>
      </c>
      <c r="AG36" s="68">
        <f>IF(AQ36="2",BI36,0)</f>
        <v>0</v>
      </c>
      <c r="AH36" s="68">
        <f>IF(AQ36="0",BJ36,0)</f>
        <v>0</v>
      </c>
      <c r="AI36" s="62" t="s">
        <v>225</v>
      </c>
      <c r="AJ36" s="42">
        <f>IF(AN36=0,K36,0)</f>
        <v>0</v>
      </c>
      <c r="AK36" s="42">
        <f>IF(AN36=15,K36,0)</f>
        <v>0</v>
      </c>
      <c r="AL36" s="42">
        <f>IF(AN36=21,K36,0)</f>
        <v>0</v>
      </c>
      <c r="AN36" s="68">
        <v>15</v>
      </c>
      <c r="AO36" s="68">
        <f>H36*0</f>
        <v>0</v>
      </c>
      <c r="AP36" s="68">
        <f>H36*(1-0)</f>
        <v>0</v>
      </c>
      <c r="AQ36" s="63" t="s">
        <v>13</v>
      </c>
      <c r="AV36" s="68">
        <f>AW36+AX36</f>
        <v>0</v>
      </c>
      <c r="AW36" s="68">
        <f>G36*AO36</f>
        <v>0</v>
      </c>
      <c r="AX36" s="68">
        <f>G36*AP36</f>
        <v>0</v>
      </c>
      <c r="AY36" s="69" t="s">
        <v>227</v>
      </c>
      <c r="AZ36" s="69" t="s">
        <v>233</v>
      </c>
      <c r="BA36" s="62" t="s">
        <v>237</v>
      </c>
      <c r="BC36" s="68">
        <f>AW36+AX36</f>
        <v>0</v>
      </c>
      <c r="BD36" s="68">
        <f>H36/(100-BE36)*100</f>
        <v>0</v>
      </c>
      <c r="BE36" s="68">
        <v>0</v>
      </c>
      <c r="BF36" s="68">
        <f>36</f>
        <v>36</v>
      </c>
      <c r="BH36" s="42">
        <f>G36*AO36</f>
        <v>0</v>
      </c>
      <c r="BI36" s="42">
        <f>G36*AP36</f>
        <v>0</v>
      </c>
      <c r="BJ36" s="42">
        <f>G36*H36</f>
        <v>0</v>
      </c>
    </row>
    <row r="37" spans="1:62" ht="9" customHeight="1">
      <c r="A37" s="11" t="s">
        <v>30</v>
      </c>
      <c r="B37" s="11" t="s">
        <v>85</v>
      </c>
      <c r="C37" s="11" t="s">
        <v>148</v>
      </c>
      <c r="D37" s="35"/>
      <c r="E37" s="35"/>
      <c r="F37" s="11" t="s">
        <v>190</v>
      </c>
      <c r="G37" s="42">
        <v>4</v>
      </c>
      <c r="H37" s="42">
        <v>0</v>
      </c>
      <c r="I37" s="42">
        <f>G37*AO37</f>
        <v>0</v>
      </c>
      <c r="J37" s="42">
        <f>G37*AP37</f>
        <v>0</v>
      </c>
      <c r="K37" s="42">
        <f>G37*H37</f>
        <v>0</v>
      </c>
      <c r="L37" s="63" t="s">
        <v>215</v>
      </c>
      <c r="Z37" s="68">
        <f>IF(AQ37="5",BJ37,0)</f>
        <v>0</v>
      </c>
      <c r="AB37" s="68">
        <f>IF(AQ37="1",BH37,0)</f>
        <v>0</v>
      </c>
      <c r="AC37" s="68">
        <f>IF(AQ37="1",BI37,0)</f>
        <v>0</v>
      </c>
      <c r="AD37" s="68">
        <f>IF(AQ37="7",BH37,0)</f>
        <v>0</v>
      </c>
      <c r="AE37" s="68">
        <f>IF(AQ37="7",BI37,0)</f>
        <v>0</v>
      </c>
      <c r="AF37" s="68">
        <f>IF(AQ37="2",BH37,0)</f>
        <v>0</v>
      </c>
      <c r="AG37" s="68">
        <f>IF(AQ37="2",BI37,0)</f>
        <v>0</v>
      </c>
      <c r="AH37" s="68">
        <f>IF(AQ37="0",BJ37,0)</f>
        <v>0</v>
      </c>
      <c r="AI37" s="62" t="s">
        <v>225</v>
      </c>
      <c r="AJ37" s="42">
        <f>IF(AN37=0,K37,0)</f>
        <v>0</v>
      </c>
      <c r="AK37" s="42">
        <f>IF(AN37=15,K37,0)</f>
        <v>0</v>
      </c>
      <c r="AL37" s="42">
        <f>IF(AN37=21,K37,0)</f>
        <v>0</v>
      </c>
      <c r="AN37" s="68">
        <v>15</v>
      </c>
      <c r="AO37" s="68">
        <f>H37*0</f>
        <v>0</v>
      </c>
      <c r="AP37" s="68">
        <f>H37*(1-0)</f>
        <v>0</v>
      </c>
      <c r="AQ37" s="63" t="s">
        <v>13</v>
      </c>
      <c r="AV37" s="68">
        <f>AW37+AX37</f>
        <v>0</v>
      </c>
      <c r="AW37" s="68">
        <f>G37*AO37</f>
        <v>0</v>
      </c>
      <c r="AX37" s="68">
        <f>G37*AP37</f>
        <v>0</v>
      </c>
      <c r="AY37" s="69" t="s">
        <v>227</v>
      </c>
      <c r="AZ37" s="69" t="s">
        <v>233</v>
      </c>
      <c r="BA37" s="62" t="s">
        <v>237</v>
      </c>
      <c r="BC37" s="68">
        <f>AW37+AX37</f>
        <v>0</v>
      </c>
      <c r="BD37" s="68">
        <f>H37/(100-BE37)*100</f>
        <v>0</v>
      </c>
      <c r="BE37" s="68">
        <v>0</v>
      </c>
      <c r="BF37" s="68">
        <f>37</f>
        <v>37</v>
      </c>
      <c r="BH37" s="42">
        <f>G37*AO37</f>
        <v>0</v>
      </c>
      <c r="BI37" s="42">
        <f>G37*AP37</f>
        <v>0</v>
      </c>
      <c r="BJ37" s="42">
        <f>G37*H37</f>
        <v>0</v>
      </c>
    </row>
    <row r="38" spans="1:62" ht="9" customHeight="1">
      <c r="A38" s="11" t="s">
        <v>31</v>
      </c>
      <c r="B38" s="11" t="s">
        <v>86</v>
      </c>
      <c r="C38" s="11" t="s">
        <v>149</v>
      </c>
      <c r="D38" s="35"/>
      <c r="E38" s="35"/>
      <c r="F38" s="11" t="s">
        <v>189</v>
      </c>
      <c r="G38" s="42">
        <v>40</v>
      </c>
      <c r="H38" s="42">
        <v>0</v>
      </c>
      <c r="I38" s="42">
        <f>G38*AO38</f>
        <v>0</v>
      </c>
      <c r="J38" s="42">
        <f>G38*AP38</f>
        <v>0</v>
      </c>
      <c r="K38" s="42">
        <f>G38*H38</f>
        <v>0</v>
      </c>
      <c r="L38" s="63" t="s">
        <v>215</v>
      </c>
      <c r="Z38" s="68">
        <f>IF(AQ38="5",BJ38,0)</f>
        <v>0</v>
      </c>
      <c r="AB38" s="68">
        <f>IF(AQ38="1",BH38,0)</f>
        <v>0</v>
      </c>
      <c r="AC38" s="68">
        <f>IF(AQ38="1",BI38,0)</f>
        <v>0</v>
      </c>
      <c r="AD38" s="68">
        <f>IF(AQ38="7",BH38,0)</f>
        <v>0</v>
      </c>
      <c r="AE38" s="68">
        <f>IF(AQ38="7",BI38,0)</f>
        <v>0</v>
      </c>
      <c r="AF38" s="68">
        <f>IF(AQ38="2",BH38,0)</f>
        <v>0</v>
      </c>
      <c r="AG38" s="68">
        <f>IF(AQ38="2",BI38,0)</f>
        <v>0</v>
      </c>
      <c r="AH38" s="68">
        <f>IF(AQ38="0",BJ38,0)</f>
        <v>0</v>
      </c>
      <c r="AI38" s="62" t="s">
        <v>225</v>
      </c>
      <c r="AJ38" s="42">
        <f>IF(AN38=0,K38,0)</f>
        <v>0</v>
      </c>
      <c r="AK38" s="42">
        <f>IF(AN38=15,K38,0)</f>
        <v>0</v>
      </c>
      <c r="AL38" s="42">
        <f>IF(AN38=21,K38,0)</f>
        <v>0</v>
      </c>
      <c r="AN38" s="68">
        <v>15</v>
      </c>
      <c r="AO38" s="68">
        <f>H38*0</f>
        <v>0</v>
      </c>
      <c r="AP38" s="68">
        <f>H38*(1-0)</f>
        <v>0</v>
      </c>
      <c r="AQ38" s="63" t="s">
        <v>13</v>
      </c>
      <c r="AV38" s="68">
        <f>AW38+AX38</f>
        <v>0</v>
      </c>
      <c r="AW38" s="68">
        <f>G38*AO38</f>
        <v>0</v>
      </c>
      <c r="AX38" s="68">
        <f>G38*AP38</f>
        <v>0</v>
      </c>
      <c r="AY38" s="69" t="s">
        <v>227</v>
      </c>
      <c r="AZ38" s="69" t="s">
        <v>233</v>
      </c>
      <c r="BA38" s="62" t="s">
        <v>237</v>
      </c>
      <c r="BC38" s="68">
        <f>AW38+AX38</f>
        <v>0</v>
      </c>
      <c r="BD38" s="68">
        <f>H38/(100-BE38)*100</f>
        <v>0</v>
      </c>
      <c r="BE38" s="68">
        <v>0</v>
      </c>
      <c r="BF38" s="68">
        <f>38</f>
        <v>38</v>
      </c>
      <c r="BH38" s="42">
        <f>G38*AO38</f>
        <v>0</v>
      </c>
      <c r="BI38" s="42">
        <f>G38*AP38</f>
        <v>0</v>
      </c>
      <c r="BJ38" s="42">
        <f>G38*H38</f>
        <v>0</v>
      </c>
    </row>
    <row r="39" spans="1:62" ht="9" customHeight="1">
      <c r="A39" s="11" t="s">
        <v>32</v>
      </c>
      <c r="B39" s="11" t="s">
        <v>87</v>
      </c>
      <c r="C39" s="11" t="s">
        <v>150</v>
      </c>
      <c r="D39" s="35"/>
      <c r="E39" s="35"/>
      <c r="F39" s="11" t="s">
        <v>190</v>
      </c>
      <c r="G39" s="42">
        <v>4</v>
      </c>
      <c r="H39" s="42">
        <v>0</v>
      </c>
      <c r="I39" s="42">
        <f>G39*AO39</f>
        <v>0</v>
      </c>
      <c r="J39" s="42">
        <f>G39*AP39</f>
        <v>0</v>
      </c>
      <c r="K39" s="42">
        <f>G39*H39</f>
        <v>0</v>
      </c>
      <c r="L39" s="63" t="s">
        <v>215</v>
      </c>
      <c r="Z39" s="68">
        <f>IF(AQ39="5",BJ39,0)</f>
        <v>0</v>
      </c>
      <c r="AB39" s="68">
        <f>IF(AQ39="1",BH39,0)</f>
        <v>0</v>
      </c>
      <c r="AC39" s="68">
        <f>IF(AQ39="1",BI39,0)</f>
        <v>0</v>
      </c>
      <c r="AD39" s="68">
        <f>IF(AQ39="7",BH39,0)</f>
        <v>0</v>
      </c>
      <c r="AE39" s="68">
        <f>IF(AQ39="7",BI39,0)</f>
        <v>0</v>
      </c>
      <c r="AF39" s="68">
        <f>IF(AQ39="2",BH39,0)</f>
        <v>0</v>
      </c>
      <c r="AG39" s="68">
        <f>IF(AQ39="2",BI39,0)</f>
        <v>0</v>
      </c>
      <c r="AH39" s="68">
        <f>IF(AQ39="0",BJ39,0)</f>
        <v>0</v>
      </c>
      <c r="AI39" s="62" t="s">
        <v>225</v>
      </c>
      <c r="AJ39" s="42">
        <f>IF(AN39=0,K39,0)</f>
        <v>0</v>
      </c>
      <c r="AK39" s="42">
        <f>IF(AN39=15,K39,0)</f>
        <v>0</v>
      </c>
      <c r="AL39" s="42">
        <f>IF(AN39=21,K39,0)</f>
        <v>0</v>
      </c>
      <c r="AN39" s="68">
        <v>15</v>
      </c>
      <c r="AO39" s="68">
        <f>H39*0</f>
        <v>0</v>
      </c>
      <c r="AP39" s="68">
        <f>H39*(1-0)</f>
        <v>0</v>
      </c>
      <c r="AQ39" s="63" t="s">
        <v>13</v>
      </c>
      <c r="AV39" s="68">
        <f>AW39+AX39</f>
        <v>0</v>
      </c>
      <c r="AW39" s="68">
        <f>G39*AO39</f>
        <v>0</v>
      </c>
      <c r="AX39" s="68">
        <f>G39*AP39</f>
        <v>0</v>
      </c>
      <c r="AY39" s="69" t="s">
        <v>227</v>
      </c>
      <c r="AZ39" s="69" t="s">
        <v>233</v>
      </c>
      <c r="BA39" s="62" t="s">
        <v>237</v>
      </c>
      <c r="BC39" s="68">
        <f>AW39+AX39</f>
        <v>0</v>
      </c>
      <c r="BD39" s="68">
        <f>H39/(100-BE39)*100</f>
        <v>0</v>
      </c>
      <c r="BE39" s="68">
        <v>0</v>
      </c>
      <c r="BF39" s="68">
        <f>39</f>
        <v>39</v>
      </c>
      <c r="BH39" s="42">
        <f>G39*AO39</f>
        <v>0</v>
      </c>
      <c r="BI39" s="42">
        <f>G39*AP39</f>
        <v>0</v>
      </c>
      <c r="BJ39" s="42">
        <f>G39*H39</f>
        <v>0</v>
      </c>
    </row>
    <row r="40" spans="1:62" ht="9" customHeight="1">
      <c r="A40" s="11" t="s">
        <v>33</v>
      </c>
      <c r="B40" s="11" t="s">
        <v>88</v>
      </c>
      <c r="C40" s="11" t="s">
        <v>151</v>
      </c>
      <c r="D40" s="35"/>
      <c r="E40" s="35"/>
      <c r="F40" s="11" t="s">
        <v>190</v>
      </c>
      <c r="G40" s="42">
        <v>1</v>
      </c>
      <c r="H40" s="42">
        <v>0</v>
      </c>
      <c r="I40" s="42">
        <f>G40*AO40</f>
        <v>0</v>
      </c>
      <c r="J40" s="42">
        <f>G40*AP40</f>
        <v>0</v>
      </c>
      <c r="K40" s="42">
        <f>G40*H40</f>
        <v>0</v>
      </c>
      <c r="L40" s="63" t="s">
        <v>215</v>
      </c>
      <c r="Z40" s="68">
        <f>IF(AQ40="5",BJ40,0)</f>
        <v>0</v>
      </c>
      <c r="AB40" s="68">
        <f>IF(AQ40="1",BH40,0)</f>
        <v>0</v>
      </c>
      <c r="AC40" s="68">
        <f>IF(AQ40="1",BI40,0)</f>
        <v>0</v>
      </c>
      <c r="AD40" s="68">
        <f>IF(AQ40="7",BH40,0)</f>
        <v>0</v>
      </c>
      <c r="AE40" s="68">
        <f>IF(AQ40="7",BI40,0)</f>
        <v>0</v>
      </c>
      <c r="AF40" s="68">
        <f>IF(AQ40="2",BH40,0)</f>
        <v>0</v>
      </c>
      <c r="AG40" s="68">
        <f>IF(AQ40="2",BI40,0)</f>
        <v>0</v>
      </c>
      <c r="AH40" s="68">
        <f>IF(AQ40="0",BJ40,0)</f>
        <v>0</v>
      </c>
      <c r="AI40" s="62" t="s">
        <v>225</v>
      </c>
      <c r="AJ40" s="42">
        <f>IF(AN40=0,K40,0)</f>
        <v>0</v>
      </c>
      <c r="AK40" s="42">
        <f>IF(AN40=15,K40,0)</f>
        <v>0</v>
      </c>
      <c r="AL40" s="42">
        <f>IF(AN40=21,K40,0)</f>
        <v>0</v>
      </c>
      <c r="AN40" s="68">
        <v>15</v>
      </c>
      <c r="AO40" s="68">
        <f>H40*0.248336755646817</f>
        <v>0</v>
      </c>
      <c r="AP40" s="68">
        <f>H40*(1-0.248336755646817)</f>
        <v>0</v>
      </c>
      <c r="AQ40" s="63" t="s">
        <v>13</v>
      </c>
      <c r="AV40" s="68">
        <f>AW40+AX40</f>
        <v>0</v>
      </c>
      <c r="AW40" s="68">
        <f>G40*AO40</f>
        <v>0</v>
      </c>
      <c r="AX40" s="68">
        <f>G40*AP40</f>
        <v>0</v>
      </c>
      <c r="AY40" s="69" t="s">
        <v>227</v>
      </c>
      <c r="AZ40" s="69" t="s">
        <v>233</v>
      </c>
      <c r="BA40" s="62" t="s">
        <v>237</v>
      </c>
      <c r="BC40" s="68">
        <f>AW40+AX40</f>
        <v>0</v>
      </c>
      <c r="BD40" s="68">
        <f>H40/(100-BE40)*100</f>
        <v>0</v>
      </c>
      <c r="BE40" s="68">
        <v>0</v>
      </c>
      <c r="BF40" s="68">
        <f>40</f>
        <v>40</v>
      </c>
      <c r="BH40" s="42">
        <f>G40*AO40</f>
        <v>0</v>
      </c>
      <c r="BI40" s="42">
        <f>G40*AP40</f>
        <v>0</v>
      </c>
      <c r="BJ40" s="42">
        <f>G40*H40</f>
        <v>0</v>
      </c>
    </row>
    <row r="41" spans="1:62" ht="9" customHeight="1">
      <c r="A41" s="11" t="s">
        <v>34</v>
      </c>
      <c r="B41" s="11" t="s">
        <v>89</v>
      </c>
      <c r="C41" s="11" t="s">
        <v>152</v>
      </c>
      <c r="D41" s="35"/>
      <c r="E41" s="35"/>
      <c r="F41" s="11" t="s">
        <v>190</v>
      </c>
      <c r="G41" s="42">
        <v>1</v>
      </c>
      <c r="H41" s="42">
        <v>0</v>
      </c>
      <c r="I41" s="42">
        <f>G41*AO41</f>
        <v>0</v>
      </c>
      <c r="J41" s="42">
        <f>G41*AP41</f>
        <v>0</v>
      </c>
      <c r="K41" s="42">
        <f>G41*H41</f>
        <v>0</v>
      </c>
      <c r="L41" s="63" t="s">
        <v>215</v>
      </c>
      <c r="Z41" s="68">
        <f>IF(AQ41="5",BJ41,0)</f>
        <v>0</v>
      </c>
      <c r="AB41" s="68">
        <f>IF(AQ41="1",BH41,0)</f>
        <v>0</v>
      </c>
      <c r="AC41" s="68">
        <f>IF(AQ41="1",BI41,0)</f>
        <v>0</v>
      </c>
      <c r="AD41" s="68">
        <f>IF(AQ41="7",BH41,0)</f>
        <v>0</v>
      </c>
      <c r="AE41" s="68">
        <f>IF(AQ41="7",BI41,0)</f>
        <v>0</v>
      </c>
      <c r="AF41" s="68">
        <f>IF(AQ41="2",BH41,0)</f>
        <v>0</v>
      </c>
      <c r="AG41" s="68">
        <f>IF(AQ41="2",BI41,0)</f>
        <v>0</v>
      </c>
      <c r="AH41" s="68">
        <f>IF(AQ41="0",BJ41,0)</f>
        <v>0</v>
      </c>
      <c r="AI41" s="62" t="s">
        <v>225</v>
      </c>
      <c r="AJ41" s="42">
        <f>IF(AN41=0,K41,0)</f>
        <v>0</v>
      </c>
      <c r="AK41" s="42">
        <f>IF(AN41=15,K41,0)</f>
        <v>0</v>
      </c>
      <c r="AL41" s="42">
        <f>IF(AN41=21,K41,0)</f>
        <v>0</v>
      </c>
      <c r="AN41" s="68">
        <v>15</v>
      </c>
      <c r="AO41" s="68">
        <f>H41*0.224795539033457</f>
        <v>0</v>
      </c>
      <c r="AP41" s="68">
        <f>H41*(1-0.224795539033457)</f>
        <v>0</v>
      </c>
      <c r="AQ41" s="63" t="s">
        <v>13</v>
      </c>
      <c r="AV41" s="68">
        <f>AW41+AX41</f>
        <v>0</v>
      </c>
      <c r="AW41" s="68">
        <f>G41*AO41</f>
        <v>0</v>
      </c>
      <c r="AX41" s="68">
        <f>G41*AP41</f>
        <v>0</v>
      </c>
      <c r="AY41" s="69" t="s">
        <v>227</v>
      </c>
      <c r="AZ41" s="69" t="s">
        <v>233</v>
      </c>
      <c r="BA41" s="62" t="s">
        <v>237</v>
      </c>
      <c r="BC41" s="68">
        <f>AW41+AX41</f>
        <v>0</v>
      </c>
      <c r="BD41" s="68">
        <f>H41/(100-BE41)*100</f>
        <v>0</v>
      </c>
      <c r="BE41" s="68">
        <v>0</v>
      </c>
      <c r="BF41" s="68">
        <f>41</f>
        <v>41</v>
      </c>
      <c r="BH41" s="42">
        <f>G41*AO41</f>
        <v>0</v>
      </c>
      <c r="BI41" s="42">
        <f>G41*AP41</f>
        <v>0</v>
      </c>
      <c r="BJ41" s="42">
        <f>G41*H41</f>
        <v>0</v>
      </c>
    </row>
    <row r="42" spans="1:62" ht="9" customHeight="1">
      <c r="A42" s="11" t="s">
        <v>35</v>
      </c>
      <c r="B42" s="11" t="s">
        <v>90</v>
      </c>
      <c r="C42" s="11" t="s">
        <v>153</v>
      </c>
      <c r="D42" s="35"/>
      <c r="E42" s="35"/>
      <c r="F42" s="11" t="s">
        <v>191</v>
      </c>
      <c r="G42" s="42">
        <v>3</v>
      </c>
      <c r="H42" s="42">
        <v>0</v>
      </c>
      <c r="I42" s="42">
        <f>G42*AO42</f>
        <v>0</v>
      </c>
      <c r="J42" s="42">
        <f>G42*AP42</f>
        <v>0</v>
      </c>
      <c r="K42" s="42">
        <f>G42*H42</f>
        <v>0</v>
      </c>
      <c r="L42" s="63" t="s">
        <v>215</v>
      </c>
      <c r="Z42" s="68">
        <f>IF(AQ42="5",BJ42,0)</f>
        <v>0</v>
      </c>
      <c r="AB42" s="68">
        <f>IF(AQ42="1",BH42,0)</f>
        <v>0</v>
      </c>
      <c r="AC42" s="68">
        <f>IF(AQ42="1",BI42,0)</f>
        <v>0</v>
      </c>
      <c r="AD42" s="68">
        <f>IF(AQ42="7",BH42,0)</f>
        <v>0</v>
      </c>
      <c r="AE42" s="68">
        <f>IF(AQ42="7",BI42,0)</f>
        <v>0</v>
      </c>
      <c r="AF42" s="68">
        <f>IF(AQ42="2",BH42,0)</f>
        <v>0</v>
      </c>
      <c r="AG42" s="68">
        <f>IF(AQ42="2",BI42,0)</f>
        <v>0</v>
      </c>
      <c r="AH42" s="68">
        <f>IF(AQ42="0",BJ42,0)</f>
        <v>0</v>
      </c>
      <c r="AI42" s="62" t="s">
        <v>225</v>
      </c>
      <c r="AJ42" s="42">
        <f>IF(AN42=0,K42,0)</f>
        <v>0</v>
      </c>
      <c r="AK42" s="42">
        <f>IF(AN42=15,K42,0)</f>
        <v>0</v>
      </c>
      <c r="AL42" s="42">
        <f>IF(AN42=21,K42,0)</f>
        <v>0</v>
      </c>
      <c r="AN42" s="68">
        <v>15</v>
      </c>
      <c r="AO42" s="68">
        <f>H42*0.946213235294118</f>
        <v>0</v>
      </c>
      <c r="AP42" s="68">
        <f>H42*(1-0.946213235294118)</f>
        <v>0</v>
      </c>
      <c r="AQ42" s="63" t="s">
        <v>13</v>
      </c>
      <c r="AV42" s="68">
        <f>AW42+AX42</f>
        <v>0</v>
      </c>
      <c r="AW42" s="68">
        <f>G42*AO42</f>
        <v>0</v>
      </c>
      <c r="AX42" s="68">
        <f>G42*AP42</f>
        <v>0</v>
      </c>
      <c r="AY42" s="69" t="s">
        <v>227</v>
      </c>
      <c r="AZ42" s="69" t="s">
        <v>233</v>
      </c>
      <c r="BA42" s="62" t="s">
        <v>237</v>
      </c>
      <c r="BC42" s="68">
        <f>AW42+AX42</f>
        <v>0</v>
      </c>
      <c r="BD42" s="68">
        <f>H42/(100-BE42)*100</f>
        <v>0</v>
      </c>
      <c r="BE42" s="68">
        <v>0</v>
      </c>
      <c r="BF42" s="68">
        <f>42</f>
        <v>42</v>
      </c>
      <c r="BH42" s="42">
        <f>G42*AO42</f>
        <v>0</v>
      </c>
      <c r="BI42" s="42">
        <f>G42*AP42</f>
        <v>0</v>
      </c>
      <c r="BJ42" s="42">
        <f>G42*H42</f>
        <v>0</v>
      </c>
    </row>
    <row r="43" spans="1:62" ht="9" customHeight="1">
      <c r="A43" s="11" t="s">
        <v>36</v>
      </c>
      <c r="B43" s="11" t="s">
        <v>91</v>
      </c>
      <c r="C43" s="11" t="s">
        <v>154</v>
      </c>
      <c r="D43" s="35"/>
      <c r="E43" s="35"/>
      <c r="F43" s="11" t="s">
        <v>191</v>
      </c>
      <c r="G43" s="42">
        <v>3</v>
      </c>
      <c r="H43" s="42">
        <v>0</v>
      </c>
      <c r="I43" s="42">
        <f>G43*AO43</f>
        <v>0</v>
      </c>
      <c r="J43" s="42">
        <f>G43*AP43</f>
        <v>0</v>
      </c>
      <c r="K43" s="42">
        <f>G43*H43</f>
        <v>0</v>
      </c>
      <c r="L43" s="63" t="s">
        <v>215</v>
      </c>
      <c r="Z43" s="68">
        <f>IF(AQ43="5",BJ43,0)</f>
        <v>0</v>
      </c>
      <c r="AB43" s="68">
        <f>IF(AQ43="1",BH43,0)</f>
        <v>0</v>
      </c>
      <c r="AC43" s="68">
        <f>IF(AQ43="1",BI43,0)</f>
        <v>0</v>
      </c>
      <c r="AD43" s="68">
        <f>IF(AQ43="7",BH43,0)</f>
        <v>0</v>
      </c>
      <c r="AE43" s="68">
        <f>IF(AQ43="7",BI43,0)</f>
        <v>0</v>
      </c>
      <c r="AF43" s="68">
        <f>IF(AQ43="2",BH43,0)</f>
        <v>0</v>
      </c>
      <c r="AG43" s="68">
        <f>IF(AQ43="2",BI43,0)</f>
        <v>0</v>
      </c>
      <c r="AH43" s="68">
        <f>IF(AQ43="0",BJ43,0)</f>
        <v>0</v>
      </c>
      <c r="AI43" s="62" t="s">
        <v>225</v>
      </c>
      <c r="AJ43" s="42">
        <f>IF(AN43=0,K43,0)</f>
        <v>0</v>
      </c>
      <c r="AK43" s="42">
        <f>IF(AN43=15,K43,0)</f>
        <v>0</v>
      </c>
      <c r="AL43" s="42">
        <f>IF(AN43=21,K43,0)</f>
        <v>0</v>
      </c>
      <c r="AN43" s="68">
        <v>15</v>
      </c>
      <c r="AO43" s="68">
        <f>H43*0.881424501424501</f>
        <v>0</v>
      </c>
      <c r="AP43" s="68">
        <f>H43*(1-0.881424501424501)</f>
        <v>0</v>
      </c>
      <c r="AQ43" s="63" t="s">
        <v>13</v>
      </c>
      <c r="AV43" s="68">
        <f>AW43+AX43</f>
        <v>0</v>
      </c>
      <c r="AW43" s="68">
        <f>G43*AO43</f>
        <v>0</v>
      </c>
      <c r="AX43" s="68">
        <f>G43*AP43</f>
        <v>0</v>
      </c>
      <c r="AY43" s="69" t="s">
        <v>227</v>
      </c>
      <c r="AZ43" s="69" t="s">
        <v>233</v>
      </c>
      <c r="BA43" s="62" t="s">
        <v>237</v>
      </c>
      <c r="BC43" s="68">
        <f>AW43+AX43</f>
        <v>0</v>
      </c>
      <c r="BD43" s="68">
        <f>H43/(100-BE43)*100</f>
        <v>0</v>
      </c>
      <c r="BE43" s="68">
        <v>0</v>
      </c>
      <c r="BF43" s="68">
        <f>43</f>
        <v>43</v>
      </c>
      <c r="BH43" s="42">
        <f>G43*AO43</f>
        <v>0</v>
      </c>
      <c r="BI43" s="42">
        <f>G43*AP43</f>
        <v>0</v>
      </c>
      <c r="BJ43" s="42">
        <f>G43*H43</f>
        <v>0</v>
      </c>
    </row>
    <row r="44" spans="1:62" ht="9" customHeight="1">
      <c r="A44" s="11" t="s">
        <v>37</v>
      </c>
      <c r="B44" s="11" t="s">
        <v>92</v>
      </c>
      <c r="C44" s="11" t="s">
        <v>155</v>
      </c>
      <c r="D44" s="35"/>
      <c r="E44" s="35"/>
      <c r="F44" s="11" t="s">
        <v>191</v>
      </c>
      <c r="G44" s="42">
        <v>8</v>
      </c>
      <c r="H44" s="42">
        <v>0</v>
      </c>
      <c r="I44" s="42">
        <f>G44*AO44</f>
        <v>0</v>
      </c>
      <c r="J44" s="42">
        <f>G44*AP44</f>
        <v>0</v>
      </c>
      <c r="K44" s="42">
        <f>G44*H44</f>
        <v>0</v>
      </c>
      <c r="L44" s="63" t="s">
        <v>215</v>
      </c>
      <c r="Z44" s="68">
        <f>IF(AQ44="5",BJ44,0)</f>
        <v>0</v>
      </c>
      <c r="AB44" s="68">
        <f>IF(AQ44="1",BH44,0)</f>
        <v>0</v>
      </c>
      <c r="AC44" s="68">
        <f>IF(AQ44="1",BI44,0)</f>
        <v>0</v>
      </c>
      <c r="AD44" s="68">
        <f>IF(AQ44="7",BH44,0)</f>
        <v>0</v>
      </c>
      <c r="AE44" s="68">
        <f>IF(AQ44="7",BI44,0)</f>
        <v>0</v>
      </c>
      <c r="AF44" s="68">
        <f>IF(AQ44="2",BH44,0)</f>
        <v>0</v>
      </c>
      <c r="AG44" s="68">
        <f>IF(AQ44="2",BI44,0)</f>
        <v>0</v>
      </c>
      <c r="AH44" s="68">
        <f>IF(AQ44="0",BJ44,0)</f>
        <v>0</v>
      </c>
      <c r="AI44" s="62" t="s">
        <v>225</v>
      </c>
      <c r="AJ44" s="42">
        <f>IF(AN44=0,K44,0)</f>
        <v>0</v>
      </c>
      <c r="AK44" s="42">
        <f>IF(AN44=15,K44,0)</f>
        <v>0</v>
      </c>
      <c r="AL44" s="42">
        <f>IF(AN44=21,K44,0)</f>
        <v>0</v>
      </c>
      <c r="AN44" s="68">
        <v>15</v>
      </c>
      <c r="AO44" s="68">
        <f>H44*0.295722078667815</f>
        <v>0</v>
      </c>
      <c r="AP44" s="68">
        <f>H44*(1-0.295722078667815)</f>
        <v>0</v>
      </c>
      <c r="AQ44" s="63" t="s">
        <v>13</v>
      </c>
      <c r="AV44" s="68">
        <f>AW44+AX44</f>
        <v>0</v>
      </c>
      <c r="AW44" s="68">
        <f>G44*AO44</f>
        <v>0</v>
      </c>
      <c r="AX44" s="68">
        <f>G44*AP44</f>
        <v>0</v>
      </c>
      <c r="AY44" s="69" t="s">
        <v>227</v>
      </c>
      <c r="AZ44" s="69" t="s">
        <v>233</v>
      </c>
      <c r="BA44" s="62" t="s">
        <v>237</v>
      </c>
      <c r="BC44" s="68">
        <f>AW44+AX44</f>
        <v>0</v>
      </c>
      <c r="BD44" s="68">
        <f>H44/(100-BE44)*100</f>
        <v>0</v>
      </c>
      <c r="BE44" s="68">
        <v>0</v>
      </c>
      <c r="BF44" s="68">
        <f>44</f>
        <v>44</v>
      </c>
      <c r="BH44" s="42">
        <f>G44*AO44</f>
        <v>0</v>
      </c>
      <c r="BI44" s="42">
        <f>G44*AP44</f>
        <v>0</v>
      </c>
      <c r="BJ44" s="42">
        <f>G44*H44</f>
        <v>0</v>
      </c>
    </row>
    <row r="45" spans="1:62" ht="9" customHeight="1">
      <c r="A45" s="11" t="s">
        <v>38</v>
      </c>
      <c r="B45" s="11" t="s">
        <v>93</v>
      </c>
      <c r="C45" s="11" t="s">
        <v>156</v>
      </c>
      <c r="D45" s="35"/>
      <c r="E45" s="35"/>
      <c r="F45" s="11" t="s">
        <v>190</v>
      </c>
      <c r="G45" s="42">
        <v>2</v>
      </c>
      <c r="H45" s="42">
        <v>0</v>
      </c>
      <c r="I45" s="42">
        <f>G45*AO45</f>
        <v>0</v>
      </c>
      <c r="J45" s="42">
        <f>G45*AP45</f>
        <v>0</v>
      </c>
      <c r="K45" s="42">
        <f>G45*H45</f>
        <v>0</v>
      </c>
      <c r="L45" s="63" t="s">
        <v>215</v>
      </c>
      <c r="Z45" s="68">
        <f>IF(AQ45="5",BJ45,0)</f>
        <v>0</v>
      </c>
      <c r="AB45" s="68">
        <f>IF(AQ45="1",BH45,0)</f>
        <v>0</v>
      </c>
      <c r="AC45" s="68">
        <f>IF(AQ45="1",BI45,0)</f>
        <v>0</v>
      </c>
      <c r="AD45" s="68">
        <f>IF(AQ45="7",BH45,0)</f>
        <v>0</v>
      </c>
      <c r="AE45" s="68">
        <f>IF(AQ45="7",BI45,0)</f>
        <v>0</v>
      </c>
      <c r="AF45" s="68">
        <f>IF(AQ45="2",BH45,0)</f>
        <v>0</v>
      </c>
      <c r="AG45" s="68">
        <f>IF(AQ45="2",BI45,0)</f>
        <v>0</v>
      </c>
      <c r="AH45" s="68">
        <f>IF(AQ45="0",BJ45,0)</f>
        <v>0</v>
      </c>
      <c r="AI45" s="62" t="s">
        <v>225</v>
      </c>
      <c r="AJ45" s="42">
        <f>IF(AN45=0,K45,0)</f>
        <v>0</v>
      </c>
      <c r="AK45" s="42">
        <f>IF(AN45=15,K45,0)</f>
        <v>0</v>
      </c>
      <c r="AL45" s="42">
        <f>IF(AN45=21,K45,0)</f>
        <v>0</v>
      </c>
      <c r="AN45" s="68">
        <v>15</v>
      </c>
      <c r="AO45" s="68">
        <f>H45*0.673783783783784</f>
        <v>0</v>
      </c>
      <c r="AP45" s="68">
        <f>H45*(1-0.673783783783784)</f>
        <v>0</v>
      </c>
      <c r="AQ45" s="63" t="s">
        <v>13</v>
      </c>
      <c r="AV45" s="68">
        <f>AW45+AX45</f>
        <v>0</v>
      </c>
      <c r="AW45" s="68">
        <f>G45*AO45</f>
        <v>0</v>
      </c>
      <c r="AX45" s="68">
        <f>G45*AP45</f>
        <v>0</v>
      </c>
      <c r="AY45" s="69" t="s">
        <v>227</v>
      </c>
      <c r="AZ45" s="69" t="s">
        <v>233</v>
      </c>
      <c r="BA45" s="62" t="s">
        <v>237</v>
      </c>
      <c r="BC45" s="68">
        <f>AW45+AX45</f>
        <v>0</v>
      </c>
      <c r="BD45" s="68">
        <f>H45/(100-BE45)*100</f>
        <v>0</v>
      </c>
      <c r="BE45" s="68">
        <v>0</v>
      </c>
      <c r="BF45" s="68">
        <f>45</f>
        <v>45</v>
      </c>
      <c r="BH45" s="42">
        <f>G45*AO45</f>
        <v>0</v>
      </c>
      <c r="BI45" s="42">
        <f>G45*AP45</f>
        <v>0</v>
      </c>
      <c r="BJ45" s="42">
        <f>G45*H45</f>
        <v>0</v>
      </c>
    </row>
    <row r="46" spans="1:62" ht="9" customHeight="1">
      <c r="A46" s="11" t="s">
        <v>39</v>
      </c>
      <c r="B46" s="11" t="s">
        <v>94</v>
      </c>
      <c r="C46" s="11" t="s">
        <v>157</v>
      </c>
      <c r="D46" s="35"/>
      <c r="E46" s="35"/>
      <c r="F46" s="11" t="s">
        <v>190</v>
      </c>
      <c r="G46" s="42">
        <v>7</v>
      </c>
      <c r="H46" s="42">
        <v>0</v>
      </c>
      <c r="I46" s="42">
        <f>G46*AO46</f>
        <v>0</v>
      </c>
      <c r="J46" s="42">
        <f>G46*AP46</f>
        <v>0</v>
      </c>
      <c r="K46" s="42">
        <f>G46*H46</f>
        <v>0</v>
      </c>
      <c r="L46" s="63" t="s">
        <v>215</v>
      </c>
      <c r="Z46" s="68">
        <f>IF(AQ46="5",BJ46,0)</f>
        <v>0</v>
      </c>
      <c r="AB46" s="68">
        <f>IF(AQ46="1",BH46,0)</f>
        <v>0</v>
      </c>
      <c r="AC46" s="68">
        <f>IF(AQ46="1",BI46,0)</f>
        <v>0</v>
      </c>
      <c r="AD46" s="68">
        <f>IF(AQ46="7",BH46,0)</f>
        <v>0</v>
      </c>
      <c r="AE46" s="68">
        <f>IF(AQ46="7",BI46,0)</f>
        <v>0</v>
      </c>
      <c r="AF46" s="68">
        <f>IF(AQ46="2",BH46,0)</f>
        <v>0</v>
      </c>
      <c r="AG46" s="68">
        <f>IF(AQ46="2",BI46,0)</f>
        <v>0</v>
      </c>
      <c r="AH46" s="68">
        <f>IF(AQ46="0",BJ46,0)</f>
        <v>0</v>
      </c>
      <c r="AI46" s="62" t="s">
        <v>225</v>
      </c>
      <c r="AJ46" s="42">
        <f>IF(AN46=0,K46,0)</f>
        <v>0</v>
      </c>
      <c r="AK46" s="42">
        <f>IF(AN46=15,K46,0)</f>
        <v>0</v>
      </c>
      <c r="AL46" s="42">
        <f>IF(AN46=21,K46,0)</f>
        <v>0</v>
      </c>
      <c r="AN46" s="68">
        <v>15</v>
      </c>
      <c r="AO46" s="68">
        <f>H46*0.78487895716946</f>
        <v>0</v>
      </c>
      <c r="AP46" s="68">
        <f>H46*(1-0.78487895716946)</f>
        <v>0</v>
      </c>
      <c r="AQ46" s="63" t="s">
        <v>13</v>
      </c>
      <c r="AV46" s="68">
        <f>AW46+AX46</f>
        <v>0</v>
      </c>
      <c r="AW46" s="68">
        <f>G46*AO46</f>
        <v>0</v>
      </c>
      <c r="AX46" s="68">
        <f>G46*AP46</f>
        <v>0</v>
      </c>
      <c r="AY46" s="69" t="s">
        <v>227</v>
      </c>
      <c r="AZ46" s="69" t="s">
        <v>233</v>
      </c>
      <c r="BA46" s="62" t="s">
        <v>237</v>
      </c>
      <c r="BC46" s="68">
        <f>AW46+AX46</f>
        <v>0</v>
      </c>
      <c r="BD46" s="68">
        <f>H46/(100-BE46)*100</f>
        <v>0</v>
      </c>
      <c r="BE46" s="68">
        <v>0</v>
      </c>
      <c r="BF46" s="68">
        <f>46</f>
        <v>46</v>
      </c>
      <c r="BH46" s="42">
        <f>G46*AO46</f>
        <v>0</v>
      </c>
      <c r="BI46" s="42">
        <f>G46*AP46</f>
        <v>0</v>
      </c>
      <c r="BJ46" s="42">
        <f>G46*H46</f>
        <v>0</v>
      </c>
    </row>
    <row r="47" spans="1:62" ht="9" customHeight="1">
      <c r="A47" s="11" t="s">
        <v>40</v>
      </c>
      <c r="B47" s="11" t="s">
        <v>95</v>
      </c>
      <c r="C47" s="11" t="s">
        <v>158</v>
      </c>
      <c r="D47" s="35"/>
      <c r="E47" s="35"/>
      <c r="F47" s="11" t="s">
        <v>190</v>
      </c>
      <c r="G47" s="42">
        <v>7</v>
      </c>
      <c r="H47" s="42">
        <v>0</v>
      </c>
      <c r="I47" s="42">
        <f>G47*AO47</f>
        <v>0</v>
      </c>
      <c r="J47" s="42">
        <f>G47*AP47</f>
        <v>0</v>
      </c>
      <c r="K47" s="42">
        <f>G47*H47</f>
        <v>0</v>
      </c>
      <c r="L47" s="63" t="s">
        <v>215</v>
      </c>
      <c r="Z47" s="68">
        <f>IF(AQ47="5",BJ47,0)</f>
        <v>0</v>
      </c>
      <c r="AB47" s="68">
        <f>IF(AQ47="1",BH47,0)</f>
        <v>0</v>
      </c>
      <c r="AC47" s="68">
        <f>IF(AQ47="1",BI47,0)</f>
        <v>0</v>
      </c>
      <c r="AD47" s="68">
        <f>IF(AQ47="7",BH47,0)</f>
        <v>0</v>
      </c>
      <c r="AE47" s="68">
        <f>IF(AQ47="7",BI47,0)</f>
        <v>0</v>
      </c>
      <c r="AF47" s="68">
        <f>IF(AQ47="2",BH47,0)</f>
        <v>0</v>
      </c>
      <c r="AG47" s="68">
        <f>IF(AQ47="2",BI47,0)</f>
        <v>0</v>
      </c>
      <c r="AH47" s="68">
        <f>IF(AQ47="0",BJ47,0)</f>
        <v>0</v>
      </c>
      <c r="AI47" s="62" t="s">
        <v>225</v>
      </c>
      <c r="AJ47" s="42">
        <f>IF(AN47=0,K47,0)</f>
        <v>0</v>
      </c>
      <c r="AK47" s="42">
        <f>IF(AN47=15,K47,0)</f>
        <v>0</v>
      </c>
      <c r="AL47" s="42">
        <f>IF(AN47=21,K47,0)</f>
        <v>0</v>
      </c>
      <c r="AN47" s="68">
        <v>15</v>
      </c>
      <c r="AO47" s="68">
        <f>H47*0.0313807531380753</f>
        <v>0</v>
      </c>
      <c r="AP47" s="68">
        <f>H47*(1-0.0313807531380753)</f>
        <v>0</v>
      </c>
      <c r="AQ47" s="63" t="s">
        <v>13</v>
      </c>
      <c r="AV47" s="68">
        <f>AW47+AX47</f>
        <v>0</v>
      </c>
      <c r="AW47" s="68">
        <f>G47*AO47</f>
        <v>0</v>
      </c>
      <c r="AX47" s="68">
        <f>G47*AP47</f>
        <v>0</v>
      </c>
      <c r="AY47" s="69" t="s">
        <v>227</v>
      </c>
      <c r="AZ47" s="69" t="s">
        <v>233</v>
      </c>
      <c r="BA47" s="62" t="s">
        <v>237</v>
      </c>
      <c r="BC47" s="68">
        <f>AW47+AX47</f>
        <v>0</v>
      </c>
      <c r="BD47" s="68">
        <f>H47/(100-BE47)*100</f>
        <v>0</v>
      </c>
      <c r="BE47" s="68">
        <v>0</v>
      </c>
      <c r="BF47" s="68">
        <f>47</f>
        <v>47</v>
      </c>
      <c r="BH47" s="42">
        <f>G47*AO47</f>
        <v>0</v>
      </c>
      <c r="BI47" s="42">
        <f>G47*AP47</f>
        <v>0</v>
      </c>
      <c r="BJ47" s="42">
        <f>G47*H47</f>
        <v>0</v>
      </c>
    </row>
    <row r="48" spans="1:62" ht="9" customHeight="1">
      <c r="A48" s="11" t="s">
        <v>41</v>
      </c>
      <c r="B48" s="11" t="s">
        <v>96</v>
      </c>
      <c r="C48" s="11" t="s">
        <v>159</v>
      </c>
      <c r="D48" s="35"/>
      <c r="E48" s="35"/>
      <c r="F48" s="11" t="s">
        <v>190</v>
      </c>
      <c r="G48" s="42">
        <v>3</v>
      </c>
      <c r="H48" s="42">
        <v>0</v>
      </c>
      <c r="I48" s="42">
        <f>G48*AO48</f>
        <v>0</v>
      </c>
      <c r="J48" s="42">
        <f>G48*AP48</f>
        <v>0</v>
      </c>
      <c r="K48" s="42">
        <f>G48*H48</f>
        <v>0</v>
      </c>
      <c r="L48" s="63" t="s">
        <v>215</v>
      </c>
      <c r="Z48" s="68">
        <f>IF(AQ48="5",BJ48,0)</f>
        <v>0</v>
      </c>
      <c r="AB48" s="68">
        <f>IF(AQ48="1",BH48,0)</f>
        <v>0</v>
      </c>
      <c r="AC48" s="68">
        <f>IF(AQ48="1",BI48,0)</f>
        <v>0</v>
      </c>
      <c r="AD48" s="68">
        <f>IF(AQ48="7",BH48,0)</f>
        <v>0</v>
      </c>
      <c r="AE48" s="68">
        <f>IF(AQ48="7",BI48,0)</f>
        <v>0</v>
      </c>
      <c r="AF48" s="68">
        <f>IF(AQ48="2",BH48,0)</f>
        <v>0</v>
      </c>
      <c r="AG48" s="68">
        <f>IF(AQ48="2",BI48,0)</f>
        <v>0</v>
      </c>
      <c r="AH48" s="68">
        <f>IF(AQ48="0",BJ48,0)</f>
        <v>0</v>
      </c>
      <c r="AI48" s="62" t="s">
        <v>225</v>
      </c>
      <c r="AJ48" s="42">
        <f>IF(AN48=0,K48,0)</f>
        <v>0</v>
      </c>
      <c r="AK48" s="42">
        <f>IF(AN48=15,K48,0)</f>
        <v>0</v>
      </c>
      <c r="AL48" s="42">
        <f>IF(AN48=21,K48,0)</f>
        <v>0</v>
      </c>
      <c r="AN48" s="68">
        <v>15</v>
      </c>
      <c r="AO48" s="68">
        <f>H48*0.193735632183908</f>
        <v>0</v>
      </c>
      <c r="AP48" s="68">
        <f>H48*(1-0.193735632183908)</f>
        <v>0</v>
      </c>
      <c r="AQ48" s="63" t="s">
        <v>13</v>
      </c>
      <c r="AV48" s="68">
        <f>AW48+AX48</f>
        <v>0</v>
      </c>
      <c r="AW48" s="68">
        <f>G48*AO48</f>
        <v>0</v>
      </c>
      <c r="AX48" s="68">
        <f>G48*AP48</f>
        <v>0</v>
      </c>
      <c r="AY48" s="69" t="s">
        <v>227</v>
      </c>
      <c r="AZ48" s="69" t="s">
        <v>233</v>
      </c>
      <c r="BA48" s="62" t="s">
        <v>237</v>
      </c>
      <c r="BC48" s="68">
        <f>AW48+AX48</f>
        <v>0</v>
      </c>
      <c r="BD48" s="68">
        <f>H48/(100-BE48)*100</f>
        <v>0</v>
      </c>
      <c r="BE48" s="68">
        <v>0</v>
      </c>
      <c r="BF48" s="68">
        <f>48</f>
        <v>48</v>
      </c>
      <c r="BH48" s="42">
        <f>G48*AO48</f>
        <v>0</v>
      </c>
      <c r="BI48" s="42">
        <f>G48*AP48</f>
        <v>0</v>
      </c>
      <c r="BJ48" s="42">
        <f>G48*H48</f>
        <v>0</v>
      </c>
    </row>
    <row r="49" spans="1:62" ht="9" customHeight="1">
      <c r="A49" s="11" t="s">
        <v>42</v>
      </c>
      <c r="B49" s="11" t="s">
        <v>97</v>
      </c>
      <c r="C49" s="11" t="s">
        <v>160</v>
      </c>
      <c r="D49" s="35"/>
      <c r="E49" s="35"/>
      <c r="F49" s="11" t="s">
        <v>190</v>
      </c>
      <c r="G49" s="42">
        <v>3</v>
      </c>
      <c r="H49" s="42">
        <v>0</v>
      </c>
      <c r="I49" s="42">
        <f>G49*AO49</f>
        <v>0</v>
      </c>
      <c r="J49" s="42">
        <f>G49*AP49</f>
        <v>0</v>
      </c>
      <c r="K49" s="42">
        <f>G49*H49</f>
        <v>0</v>
      </c>
      <c r="L49" s="63" t="s">
        <v>215</v>
      </c>
      <c r="Z49" s="68">
        <f>IF(AQ49="5",BJ49,0)</f>
        <v>0</v>
      </c>
      <c r="AB49" s="68">
        <f>IF(AQ49="1",BH49,0)</f>
        <v>0</v>
      </c>
      <c r="AC49" s="68">
        <f>IF(AQ49="1",BI49,0)</f>
        <v>0</v>
      </c>
      <c r="AD49" s="68">
        <f>IF(AQ49="7",BH49,0)</f>
        <v>0</v>
      </c>
      <c r="AE49" s="68">
        <f>IF(AQ49="7",BI49,0)</f>
        <v>0</v>
      </c>
      <c r="AF49" s="68">
        <f>IF(AQ49="2",BH49,0)</f>
        <v>0</v>
      </c>
      <c r="AG49" s="68">
        <f>IF(AQ49="2",BI49,0)</f>
        <v>0</v>
      </c>
      <c r="AH49" s="68">
        <f>IF(AQ49="0",BJ49,0)</f>
        <v>0</v>
      </c>
      <c r="AI49" s="62" t="s">
        <v>225</v>
      </c>
      <c r="AJ49" s="42">
        <f>IF(AN49=0,K49,0)</f>
        <v>0</v>
      </c>
      <c r="AK49" s="42">
        <f>IF(AN49=15,K49,0)</f>
        <v>0</v>
      </c>
      <c r="AL49" s="42">
        <f>IF(AN49=21,K49,0)</f>
        <v>0</v>
      </c>
      <c r="AN49" s="68">
        <v>15</v>
      </c>
      <c r="AO49" s="68">
        <f>H49*0.256055363321799</f>
        <v>0</v>
      </c>
      <c r="AP49" s="68">
        <f>H49*(1-0.256055363321799)</f>
        <v>0</v>
      </c>
      <c r="AQ49" s="63" t="s">
        <v>13</v>
      </c>
      <c r="AV49" s="68">
        <f>AW49+AX49</f>
        <v>0</v>
      </c>
      <c r="AW49" s="68">
        <f>G49*AO49</f>
        <v>0</v>
      </c>
      <c r="AX49" s="68">
        <f>G49*AP49</f>
        <v>0</v>
      </c>
      <c r="AY49" s="69" t="s">
        <v>227</v>
      </c>
      <c r="AZ49" s="69" t="s">
        <v>233</v>
      </c>
      <c r="BA49" s="62" t="s">
        <v>237</v>
      </c>
      <c r="BC49" s="68">
        <f>AW49+AX49</f>
        <v>0</v>
      </c>
      <c r="BD49" s="68">
        <f>H49/(100-BE49)*100</f>
        <v>0</v>
      </c>
      <c r="BE49" s="68">
        <v>0</v>
      </c>
      <c r="BF49" s="68">
        <f>49</f>
        <v>49</v>
      </c>
      <c r="BH49" s="42">
        <f>G49*AO49</f>
        <v>0</v>
      </c>
      <c r="BI49" s="42">
        <f>G49*AP49</f>
        <v>0</v>
      </c>
      <c r="BJ49" s="42">
        <f>G49*H49</f>
        <v>0</v>
      </c>
    </row>
    <row r="50" spans="1:62" ht="9" customHeight="1">
      <c r="A50" s="11" t="s">
        <v>43</v>
      </c>
      <c r="B50" s="11" t="s">
        <v>98</v>
      </c>
      <c r="C50" s="11" t="s">
        <v>161</v>
      </c>
      <c r="D50" s="35"/>
      <c r="E50" s="35"/>
      <c r="F50" s="11" t="s">
        <v>193</v>
      </c>
      <c r="G50" s="42">
        <v>1</v>
      </c>
      <c r="H50" s="42">
        <v>0</v>
      </c>
      <c r="I50" s="42">
        <f>G50*AO50</f>
        <v>0</v>
      </c>
      <c r="J50" s="42">
        <f>G50*AP50</f>
        <v>0</v>
      </c>
      <c r="K50" s="42">
        <f>G50*H50</f>
        <v>0</v>
      </c>
      <c r="L50" s="63" t="s">
        <v>215</v>
      </c>
      <c r="Z50" s="68">
        <f>IF(AQ50="5",BJ50,0)</f>
        <v>0</v>
      </c>
      <c r="AB50" s="68">
        <f>IF(AQ50="1",BH50,0)</f>
        <v>0</v>
      </c>
      <c r="AC50" s="68">
        <f>IF(AQ50="1",BI50,0)</f>
        <v>0</v>
      </c>
      <c r="AD50" s="68">
        <f>IF(AQ50="7",BH50,0)</f>
        <v>0</v>
      </c>
      <c r="AE50" s="68">
        <f>IF(AQ50="7",BI50,0)</f>
        <v>0</v>
      </c>
      <c r="AF50" s="68">
        <f>IF(AQ50="2",BH50,0)</f>
        <v>0</v>
      </c>
      <c r="AG50" s="68">
        <f>IF(AQ50="2",BI50,0)</f>
        <v>0</v>
      </c>
      <c r="AH50" s="68">
        <f>IF(AQ50="0",BJ50,0)</f>
        <v>0</v>
      </c>
      <c r="AI50" s="62" t="s">
        <v>225</v>
      </c>
      <c r="AJ50" s="42">
        <f>IF(AN50=0,K50,0)</f>
        <v>0</v>
      </c>
      <c r="AK50" s="42">
        <f>IF(AN50=15,K50,0)</f>
        <v>0</v>
      </c>
      <c r="AL50" s="42">
        <f>IF(AN50=21,K50,0)</f>
        <v>0</v>
      </c>
      <c r="AN50" s="68">
        <v>15</v>
      </c>
      <c r="AO50" s="68">
        <f>H50*0</f>
        <v>0</v>
      </c>
      <c r="AP50" s="68">
        <f>H50*(1-0)</f>
        <v>0</v>
      </c>
      <c r="AQ50" s="63" t="s">
        <v>13</v>
      </c>
      <c r="AV50" s="68">
        <f>AW50+AX50</f>
        <v>0</v>
      </c>
      <c r="AW50" s="68">
        <f>G50*AO50</f>
        <v>0</v>
      </c>
      <c r="AX50" s="68">
        <f>G50*AP50</f>
        <v>0</v>
      </c>
      <c r="AY50" s="69" t="s">
        <v>227</v>
      </c>
      <c r="AZ50" s="69" t="s">
        <v>233</v>
      </c>
      <c r="BA50" s="62" t="s">
        <v>237</v>
      </c>
      <c r="BC50" s="68">
        <f>AW50+AX50</f>
        <v>0</v>
      </c>
      <c r="BD50" s="68">
        <f>H50/(100-BE50)*100</f>
        <v>0</v>
      </c>
      <c r="BE50" s="68">
        <v>0</v>
      </c>
      <c r="BF50" s="68">
        <f>50</f>
        <v>50</v>
      </c>
      <c r="BH50" s="42">
        <f>G50*AO50</f>
        <v>0</v>
      </c>
      <c r="BI50" s="42">
        <f>G50*AP50</f>
        <v>0</v>
      </c>
      <c r="BJ50" s="42">
        <f>G50*H50</f>
        <v>0</v>
      </c>
    </row>
    <row r="51" spans="1:47" ht="9" customHeight="1">
      <c r="A51" s="10"/>
      <c r="B51" s="24" t="s">
        <v>99</v>
      </c>
      <c r="C51" s="24" t="s">
        <v>162</v>
      </c>
      <c r="D51" s="34"/>
      <c r="E51" s="34"/>
      <c r="F51" s="10" t="s">
        <v>6</v>
      </c>
      <c r="G51" s="10" t="s">
        <v>6</v>
      </c>
      <c r="H51" s="10" t="s">
        <v>6</v>
      </c>
      <c r="I51" s="71">
        <f>SUM(I52:I55)</f>
        <v>0</v>
      </c>
      <c r="J51" s="71">
        <f>SUM(J52:J55)</f>
        <v>0</v>
      </c>
      <c r="K51" s="71">
        <f>SUM(K52:K55)</f>
        <v>0</v>
      </c>
      <c r="L51" s="62"/>
      <c r="AI51" s="62" t="s">
        <v>225</v>
      </c>
      <c r="AS51" s="71">
        <f>SUM(AJ52:AJ55)</f>
        <v>0</v>
      </c>
      <c r="AT51" s="71">
        <f>SUM(AK52:AK55)</f>
        <v>0</v>
      </c>
      <c r="AU51" s="71">
        <f>SUM(AL52:AL55)</f>
        <v>0</v>
      </c>
    </row>
    <row r="52" spans="1:62" ht="9" customHeight="1">
      <c r="A52" s="11" t="s">
        <v>44</v>
      </c>
      <c r="B52" s="11" t="s">
        <v>100</v>
      </c>
      <c r="C52" s="11" t="s">
        <v>163</v>
      </c>
      <c r="D52" s="35"/>
      <c r="E52" s="35"/>
      <c r="F52" s="11" t="s">
        <v>191</v>
      </c>
      <c r="G52" s="42">
        <v>3</v>
      </c>
      <c r="H52" s="42">
        <v>0</v>
      </c>
      <c r="I52" s="42">
        <f>G52*AO52</f>
        <v>0</v>
      </c>
      <c r="J52" s="42">
        <f>G52*AP52</f>
        <v>0</v>
      </c>
      <c r="K52" s="42">
        <f>G52*H52</f>
        <v>0</v>
      </c>
      <c r="L52" s="63" t="s">
        <v>215</v>
      </c>
      <c r="Z52" s="68">
        <f>IF(AQ52="5",BJ52,0)</f>
        <v>0</v>
      </c>
      <c r="AB52" s="68">
        <f>IF(AQ52="1",BH52,0)</f>
        <v>0</v>
      </c>
      <c r="AC52" s="68">
        <f>IF(AQ52="1",BI52,0)</f>
        <v>0</v>
      </c>
      <c r="AD52" s="68">
        <f>IF(AQ52="7",BH52,0)</f>
        <v>0</v>
      </c>
      <c r="AE52" s="68">
        <f>IF(AQ52="7",BI52,0)</f>
        <v>0</v>
      </c>
      <c r="AF52" s="68">
        <f>IF(AQ52="2",BH52,0)</f>
        <v>0</v>
      </c>
      <c r="AG52" s="68">
        <f>IF(AQ52="2",BI52,0)</f>
        <v>0</v>
      </c>
      <c r="AH52" s="68">
        <f>IF(AQ52="0",BJ52,0)</f>
        <v>0</v>
      </c>
      <c r="AI52" s="62" t="s">
        <v>225</v>
      </c>
      <c r="AJ52" s="42">
        <f>IF(AN52=0,K52,0)</f>
        <v>0</v>
      </c>
      <c r="AK52" s="42">
        <f>IF(AN52=15,K52,0)</f>
        <v>0</v>
      </c>
      <c r="AL52" s="42">
        <f>IF(AN52=21,K52,0)</f>
        <v>0</v>
      </c>
      <c r="AN52" s="68">
        <v>15</v>
      </c>
      <c r="AO52" s="68">
        <f>H52*0</f>
        <v>0</v>
      </c>
      <c r="AP52" s="68">
        <f>H52*(1-0)</f>
        <v>0</v>
      </c>
      <c r="AQ52" s="63" t="s">
        <v>13</v>
      </c>
      <c r="AV52" s="68">
        <f>AW52+AX52</f>
        <v>0</v>
      </c>
      <c r="AW52" s="68">
        <f>G52*AO52</f>
        <v>0</v>
      </c>
      <c r="AX52" s="68">
        <f>G52*AP52</f>
        <v>0</v>
      </c>
      <c r="AY52" s="69" t="s">
        <v>228</v>
      </c>
      <c r="AZ52" s="69" t="s">
        <v>233</v>
      </c>
      <c r="BA52" s="62" t="s">
        <v>237</v>
      </c>
      <c r="BC52" s="68">
        <f>AW52+AX52</f>
        <v>0</v>
      </c>
      <c r="BD52" s="68">
        <f>H52/(100-BE52)*100</f>
        <v>0</v>
      </c>
      <c r="BE52" s="68">
        <v>0</v>
      </c>
      <c r="BF52" s="68">
        <f>52</f>
        <v>52</v>
      </c>
      <c r="BH52" s="42">
        <f>G52*AO52</f>
        <v>0</v>
      </c>
      <c r="BI52" s="42">
        <f>G52*AP52</f>
        <v>0</v>
      </c>
      <c r="BJ52" s="42">
        <f>G52*H52</f>
        <v>0</v>
      </c>
    </row>
    <row r="53" spans="1:62" ht="9" customHeight="1">
      <c r="A53" s="11" t="s">
        <v>45</v>
      </c>
      <c r="B53" s="11" t="s">
        <v>101</v>
      </c>
      <c r="C53" s="11" t="s">
        <v>164</v>
      </c>
      <c r="D53" s="35"/>
      <c r="E53" s="35"/>
      <c r="F53" s="11" t="s">
        <v>190</v>
      </c>
      <c r="G53" s="42">
        <v>3</v>
      </c>
      <c r="H53" s="42">
        <v>0</v>
      </c>
      <c r="I53" s="42">
        <f>G53*AO53</f>
        <v>0</v>
      </c>
      <c r="J53" s="42">
        <f>G53*AP53</f>
        <v>0</v>
      </c>
      <c r="K53" s="42">
        <f>G53*H53</f>
        <v>0</v>
      </c>
      <c r="L53" s="63" t="s">
        <v>215</v>
      </c>
      <c r="Z53" s="68">
        <f>IF(AQ53="5",BJ53,0)</f>
        <v>0</v>
      </c>
      <c r="AB53" s="68">
        <f>IF(AQ53="1",BH53,0)</f>
        <v>0</v>
      </c>
      <c r="AC53" s="68">
        <f>IF(AQ53="1",BI53,0)</f>
        <v>0</v>
      </c>
      <c r="AD53" s="68">
        <f>IF(AQ53="7",BH53,0)</f>
        <v>0</v>
      </c>
      <c r="AE53" s="68">
        <f>IF(AQ53="7",BI53,0)</f>
        <v>0</v>
      </c>
      <c r="AF53" s="68">
        <f>IF(AQ53="2",BH53,0)</f>
        <v>0</v>
      </c>
      <c r="AG53" s="68">
        <f>IF(AQ53="2",BI53,0)</f>
        <v>0</v>
      </c>
      <c r="AH53" s="68">
        <f>IF(AQ53="0",BJ53,0)</f>
        <v>0</v>
      </c>
      <c r="AI53" s="62" t="s">
        <v>225</v>
      </c>
      <c r="AJ53" s="42">
        <f>IF(AN53=0,K53,0)</f>
        <v>0</v>
      </c>
      <c r="AK53" s="42">
        <f>IF(AN53=15,K53,0)</f>
        <v>0</v>
      </c>
      <c r="AL53" s="42">
        <f>IF(AN53=21,K53,0)</f>
        <v>0</v>
      </c>
      <c r="AN53" s="68">
        <v>15</v>
      </c>
      <c r="AO53" s="68">
        <f>H53*0.464547837483617</f>
        <v>0</v>
      </c>
      <c r="AP53" s="68">
        <f>H53*(1-0.464547837483617)</f>
        <v>0</v>
      </c>
      <c r="AQ53" s="63" t="s">
        <v>13</v>
      </c>
      <c r="AV53" s="68">
        <f>AW53+AX53</f>
        <v>0</v>
      </c>
      <c r="AW53" s="68">
        <f>G53*AO53</f>
        <v>0</v>
      </c>
      <c r="AX53" s="68">
        <f>G53*AP53</f>
        <v>0</v>
      </c>
      <c r="AY53" s="69" t="s">
        <v>228</v>
      </c>
      <c r="AZ53" s="69" t="s">
        <v>233</v>
      </c>
      <c r="BA53" s="62" t="s">
        <v>237</v>
      </c>
      <c r="BC53" s="68">
        <f>AW53+AX53</f>
        <v>0</v>
      </c>
      <c r="BD53" s="68">
        <f>H53/(100-BE53)*100</f>
        <v>0</v>
      </c>
      <c r="BE53" s="68">
        <v>0</v>
      </c>
      <c r="BF53" s="68">
        <f>53</f>
        <v>53</v>
      </c>
      <c r="BH53" s="42">
        <f>G53*AO53</f>
        <v>0</v>
      </c>
      <c r="BI53" s="42">
        <f>G53*AP53</f>
        <v>0</v>
      </c>
      <c r="BJ53" s="42">
        <f>G53*H53</f>
        <v>0</v>
      </c>
    </row>
    <row r="54" spans="1:62" ht="9" customHeight="1">
      <c r="A54" s="11" t="s">
        <v>46</v>
      </c>
      <c r="B54" s="11" t="s">
        <v>102</v>
      </c>
      <c r="C54" s="11" t="s">
        <v>165</v>
      </c>
      <c r="D54" s="35"/>
      <c r="E54" s="35"/>
      <c r="F54" s="11" t="s">
        <v>191</v>
      </c>
      <c r="G54" s="42">
        <v>2</v>
      </c>
      <c r="H54" s="42">
        <v>0</v>
      </c>
      <c r="I54" s="42">
        <f>G54*AO54</f>
        <v>0</v>
      </c>
      <c r="J54" s="42">
        <f>G54*AP54</f>
        <v>0</v>
      </c>
      <c r="K54" s="42">
        <f>G54*H54</f>
        <v>0</v>
      </c>
      <c r="L54" s="63" t="s">
        <v>215</v>
      </c>
      <c r="Z54" s="68">
        <f>IF(AQ54="5",BJ54,0)</f>
        <v>0</v>
      </c>
      <c r="AB54" s="68">
        <f>IF(AQ54="1",BH54,0)</f>
        <v>0</v>
      </c>
      <c r="AC54" s="68">
        <f>IF(AQ54="1",BI54,0)</f>
        <v>0</v>
      </c>
      <c r="AD54" s="68">
        <f>IF(AQ54="7",BH54,0)</f>
        <v>0</v>
      </c>
      <c r="AE54" s="68">
        <f>IF(AQ54="7",BI54,0)</f>
        <v>0</v>
      </c>
      <c r="AF54" s="68">
        <f>IF(AQ54="2",BH54,0)</f>
        <v>0</v>
      </c>
      <c r="AG54" s="68">
        <f>IF(AQ54="2",BI54,0)</f>
        <v>0</v>
      </c>
      <c r="AH54" s="68">
        <f>IF(AQ54="0",BJ54,0)</f>
        <v>0</v>
      </c>
      <c r="AI54" s="62" t="s">
        <v>225</v>
      </c>
      <c r="AJ54" s="42">
        <f>IF(AN54=0,K54,0)</f>
        <v>0</v>
      </c>
      <c r="AK54" s="42">
        <f>IF(AN54=15,K54,0)</f>
        <v>0</v>
      </c>
      <c r="AL54" s="42">
        <f>IF(AN54=21,K54,0)</f>
        <v>0</v>
      </c>
      <c r="AN54" s="68">
        <v>15</v>
      </c>
      <c r="AO54" s="68">
        <f>H54*0</f>
        <v>0</v>
      </c>
      <c r="AP54" s="68">
        <f>H54*(1-0)</f>
        <v>0</v>
      </c>
      <c r="AQ54" s="63" t="s">
        <v>13</v>
      </c>
      <c r="AV54" s="68">
        <f>AW54+AX54</f>
        <v>0</v>
      </c>
      <c r="AW54" s="68">
        <f>G54*AO54</f>
        <v>0</v>
      </c>
      <c r="AX54" s="68">
        <f>G54*AP54</f>
        <v>0</v>
      </c>
      <c r="AY54" s="69" t="s">
        <v>228</v>
      </c>
      <c r="AZ54" s="69" t="s">
        <v>233</v>
      </c>
      <c r="BA54" s="62" t="s">
        <v>237</v>
      </c>
      <c r="BC54" s="68">
        <f>AW54+AX54</f>
        <v>0</v>
      </c>
      <c r="BD54" s="68">
        <f>H54/(100-BE54)*100</f>
        <v>0</v>
      </c>
      <c r="BE54" s="68">
        <v>0</v>
      </c>
      <c r="BF54" s="68">
        <f>54</f>
        <v>54</v>
      </c>
      <c r="BH54" s="42">
        <f>G54*AO54</f>
        <v>0</v>
      </c>
      <c r="BI54" s="42">
        <f>G54*AP54</f>
        <v>0</v>
      </c>
      <c r="BJ54" s="42">
        <f>G54*H54</f>
        <v>0</v>
      </c>
    </row>
    <row r="55" spans="1:62" ht="9" customHeight="1">
      <c r="A55" s="11" t="s">
        <v>47</v>
      </c>
      <c r="B55" s="11" t="s">
        <v>103</v>
      </c>
      <c r="C55" s="11" t="s">
        <v>166</v>
      </c>
      <c r="D55" s="35"/>
      <c r="E55" s="35"/>
      <c r="F55" s="11" t="s">
        <v>191</v>
      </c>
      <c r="G55" s="42">
        <v>1</v>
      </c>
      <c r="H55" s="42">
        <v>0</v>
      </c>
      <c r="I55" s="42">
        <f>G55*AO55</f>
        <v>0</v>
      </c>
      <c r="J55" s="42">
        <f>G55*AP55</f>
        <v>0</v>
      </c>
      <c r="K55" s="42">
        <f>G55*H55</f>
        <v>0</v>
      </c>
      <c r="L55" s="63" t="s">
        <v>215</v>
      </c>
      <c r="Z55" s="68">
        <f>IF(AQ55="5",BJ55,0)</f>
        <v>0</v>
      </c>
      <c r="AB55" s="68">
        <f>IF(AQ55="1",BH55,0)</f>
        <v>0</v>
      </c>
      <c r="AC55" s="68">
        <f>IF(AQ55="1",BI55,0)</f>
        <v>0</v>
      </c>
      <c r="AD55" s="68">
        <f>IF(AQ55="7",BH55,0)</f>
        <v>0</v>
      </c>
      <c r="AE55" s="68">
        <f>IF(AQ55="7",BI55,0)</f>
        <v>0</v>
      </c>
      <c r="AF55" s="68">
        <f>IF(AQ55="2",BH55,0)</f>
        <v>0</v>
      </c>
      <c r="AG55" s="68">
        <f>IF(AQ55="2",BI55,0)</f>
        <v>0</v>
      </c>
      <c r="AH55" s="68">
        <f>IF(AQ55="0",BJ55,0)</f>
        <v>0</v>
      </c>
      <c r="AI55" s="62" t="s">
        <v>225</v>
      </c>
      <c r="AJ55" s="42">
        <f>IF(AN55=0,K55,0)</f>
        <v>0</v>
      </c>
      <c r="AK55" s="42">
        <f>IF(AN55=15,K55,0)</f>
        <v>0</v>
      </c>
      <c r="AL55" s="42">
        <f>IF(AN55=21,K55,0)</f>
        <v>0</v>
      </c>
      <c r="AN55" s="68">
        <v>15</v>
      </c>
      <c r="AO55" s="68">
        <f>H55*0</f>
        <v>0</v>
      </c>
      <c r="AP55" s="68">
        <f>H55*(1-0)</f>
        <v>0</v>
      </c>
      <c r="AQ55" s="63" t="s">
        <v>13</v>
      </c>
      <c r="AV55" s="68">
        <f>AW55+AX55</f>
        <v>0</v>
      </c>
      <c r="AW55" s="68">
        <f>G55*AO55</f>
        <v>0</v>
      </c>
      <c r="AX55" s="68">
        <f>G55*AP55</f>
        <v>0</v>
      </c>
      <c r="AY55" s="69" t="s">
        <v>228</v>
      </c>
      <c r="AZ55" s="69" t="s">
        <v>233</v>
      </c>
      <c r="BA55" s="62" t="s">
        <v>237</v>
      </c>
      <c r="BC55" s="68">
        <f>AW55+AX55</f>
        <v>0</v>
      </c>
      <c r="BD55" s="68">
        <f>H55/(100-BE55)*100</f>
        <v>0</v>
      </c>
      <c r="BE55" s="68">
        <v>0</v>
      </c>
      <c r="BF55" s="68">
        <f>55</f>
        <v>55</v>
      </c>
      <c r="BH55" s="42">
        <f>G55*AO55</f>
        <v>0</v>
      </c>
      <c r="BI55" s="42">
        <f>G55*AP55</f>
        <v>0</v>
      </c>
      <c r="BJ55" s="42">
        <f>G55*H55</f>
        <v>0</v>
      </c>
    </row>
    <row r="56" spans="1:47" ht="9" customHeight="1">
      <c r="A56" s="10"/>
      <c r="B56" s="24" t="s">
        <v>104</v>
      </c>
      <c r="C56" s="24" t="s">
        <v>167</v>
      </c>
      <c r="D56" s="34"/>
      <c r="E56" s="34"/>
      <c r="F56" s="10" t="s">
        <v>6</v>
      </c>
      <c r="G56" s="10" t="s">
        <v>6</v>
      </c>
      <c r="H56" s="10" t="s">
        <v>6</v>
      </c>
      <c r="I56" s="71">
        <f>SUM(I57:I59)</f>
        <v>0</v>
      </c>
      <c r="J56" s="71">
        <f>SUM(J57:J59)</f>
        <v>0</v>
      </c>
      <c r="K56" s="71">
        <f>SUM(K57:K59)</f>
        <v>0</v>
      </c>
      <c r="L56" s="62"/>
      <c r="AI56" s="62" t="s">
        <v>225</v>
      </c>
      <c r="AS56" s="71">
        <f>SUM(AJ57:AJ59)</f>
        <v>0</v>
      </c>
      <c r="AT56" s="71">
        <f>SUM(AK57:AK59)</f>
        <v>0</v>
      </c>
      <c r="AU56" s="71">
        <f>SUM(AL57:AL59)</f>
        <v>0</v>
      </c>
    </row>
    <row r="57" spans="1:62" ht="9" customHeight="1">
      <c r="A57" s="11" t="s">
        <v>48</v>
      </c>
      <c r="B57" s="11" t="s">
        <v>105</v>
      </c>
      <c r="C57" s="11" t="s">
        <v>168</v>
      </c>
      <c r="D57" s="35"/>
      <c r="E57" s="35"/>
      <c r="F57" s="11" t="s">
        <v>189</v>
      </c>
      <c r="G57" s="42">
        <v>10</v>
      </c>
      <c r="H57" s="42">
        <v>0</v>
      </c>
      <c r="I57" s="42">
        <f>G57*AO57</f>
        <v>0</v>
      </c>
      <c r="J57" s="42">
        <f>G57*AP57</f>
        <v>0</v>
      </c>
      <c r="K57" s="42">
        <f>G57*H57</f>
        <v>0</v>
      </c>
      <c r="L57" s="63" t="s">
        <v>215</v>
      </c>
      <c r="Z57" s="68">
        <f>IF(AQ57="5",BJ57,0)</f>
        <v>0</v>
      </c>
      <c r="AB57" s="68">
        <f>IF(AQ57="1",BH57,0)</f>
        <v>0</v>
      </c>
      <c r="AC57" s="68">
        <f>IF(AQ57="1",BI57,0)</f>
        <v>0</v>
      </c>
      <c r="AD57" s="68">
        <f>IF(AQ57="7",BH57,0)</f>
        <v>0</v>
      </c>
      <c r="AE57" s="68">
        <f>IF(AQ57="7",BI57,0)</f>
        <v>0</v>
      </c>
      <c r="AF57" s="68">
        <f>IF(AQ57="2",BH57,0)</f>
        <v>0</v>
      </c>
      <c r="AG57" s="68">
        <f>IF(AQ57="2",BI57,0)</f>
        <v>0</v>
      </c>
      <c r="AH57" s="68">
        <f>IF(AQ57="0",BJ57,0)</f>
        <v>0</v>
      </c>
      <c r="AI57" s="62" t="s">
        <v>225</v>
      </c>
      <c r="AJ57" s="42">
        <f>IF(AN57=0,K57,0)</f>
        <v>0</v>
      </c>
      <c r="AK57" s="42">
        <f>IF(AN57=15,K57,0)</f>
        <v>0</v>
      </c>
      <c r="AL57" s="42">
        <f>IF(AN57=21,K57,0)</f>
        <v>0</v>
      </c>
      <c r="AN57" s="68">
        <v>15</v>
      </c>
      <c r="AO57" s="68">
        <f>H57*0.279173381363162</f>
        <v>0</v>
      </c>
      <c r="AP57" s="68">
        <f>H57*(1-0.279173381363162)</f>
        <v>0</v>
      </c>
      <c r="AQ57" s="63" t="s">
        <v>13</v>
      </c>
      <c r="AV57" s="68">
        <f>AW57+AX57</f>
        <v>0</v>
      </c>
      <c r="AW57" s="68">
        <f>G57*AO57</f>
        <v>0</v>
      </c>
      <c r="AX57" s="68">
        <f>G57*AP57</f>
        <v>0</v>
      </c>
      <c r="AY57" s="69" t="s">
        <v>229</v>
      </c>
      <c r="AZ57" s="69" t="s">
        <v>234</v>
      </c>
      <c r="BA57" s="62" t="s">
        <v>237</v>
      </c>
      <c r="BC57" s="68">
        <f>AW57+AX57</f>
        <v>0</v>
      </c>
      <c r="BD57" s="68">
        <f>H57/(100-BE57)*100</f>
        <v>0</v>
      </c>
      <c r="BE57" s="68">
        <v>0</v>
      </c>
      <c r="BF57" s="68">
        <f>57</f>
        <v>57</v>
      </c>
      <c r="BH57" s="42">
        <f>G57*AO57</f>
        <v>0</v>
      </c>
      <c r="BI57" s="42">
        <f>G57*AP57</f>
        <v>0</v>
      </c>
      <c r="BJ57" s="42">
        <f>G57*H57</f>
        <v>0</v>
      </c>
    </row>
    <row r="58" spans="1:62" ht="9" customHeight="1">
      <c r="A58" s="11" t="s">
        <v>49</v>
      </c>
      <c r="B58" s="11" t="s">
        <v>106</v>
      </c>
      <c r="C58" s="11" t="s">
        <v>169</v>
      </c>
      <c r="D58" s="35"/>
      <c r="E58" s="35"/>
      <c r="F58" s="11" t="s">
        <v>194</v>
      </c>
      <c r="G58" s="42">
        <v>1</v>
      </c>
      <c r="H58" s="42">
        <v>0</v>
      </c>
      <c r="I58" s="42">
        <f>G58*AO58</f>
        <v>0</v>
      </c>
      <c r="J58" s="42">
        <f>G58*AP58</f>
        <v>0</v>
      </c>
      <c r="K58" s="42">
        <f>G58*H58</f>
        <v>0</v>
      </c>
      <c r="L58" s="63" t="s">
        <v>215</v>
      </c>
      <c r="Z58" s="68">
        <f>IF(AQ58="5",BJ58,0)</f>
        <v>0</v>
      </c>
      <c r="AB58" s="68">
        <f>IF(AQ58="1",BH58,0)</f>
        <v>0</v>
      </c>
      <c r="AC58" s="68">
        <f>IF(AQ58="1",BI58,0)</f>
        <v>0</v>
      </c>
      <c r="AD58" s="68">
        <f>IF(AQ58="7",BH58,0)</f>
        <v>0</v>
      </c>
      <c r="AE58" s="68">
        <f>IF(AQ58="7",BI58,0)</f>
        <v>0</v>
      </c>
      <c r="AF58" s="68">
        <f>IF(AQ58="2",BH58,0)</f>
        <v>0</v>
      </c>
      <c r="AG58" s="68">
        <f>IF(AQ58="2",BI58,0)</f>
        <v>0</v>
      </c>
      <c r="AH58" s="68">
        <f>IF(AQ58="0",BJ58,0)</f>
        <v>0</v>
      </c>
      <c r="AI58" s="62" t="s">
        <v>225</v>
      </c>
      <c r="AJ58" s="42">
        <f>IF(AN58=0,K58,0)</f>
        <v>0</v>
      </c>
      <c r="AK58" s="42">
        <f>IF(AN58=15,K58,0)</f>
        <v>0</v>
      </c>
      <c r="AL58" s="42">
        <f>IF(AN58=21,K58,0)</f>
        <v>0</v>
      </c>
      <c r="AN58" s="68">
        <v>15</v>
      </c>
      <c r="AO58" s="68">
        <f>H58*0.503269754768392</f>
        <v>0</v>
      </c>
      <c r="AP58" s="68">
        <f>H58*(1-0.503269754768392)</f>
        <v>0</v>
      </c>
      <c r="AQ58" s="63" t="s">
        <v>13</v>
      </c>
      <c r="AV58" s="68">
        <f>AW58+AX58</f>
        <v>0</v>
      </c>
      <c r="AW58" s="68">
        <f>G58*AO58</f>
        <v>0</v>
      </c>
      <c r="AX58" s="68">
        <f>G58*AP58</f>
        <v>0</v>
      </c>
      <c r="AY58" s="69" t="s">
        <v>229</v>
      </c>
      <c r="AZ58" s="69" t="s">
        <v>234</v>
      </c>
      <c r="BA58" s="62" t="s">
        <v>237</v>
      </c>
      <c r="BC58" s="68">
        <f>AW58+AX58</f>
        <v>0</v>
      </c>
      <c r="BD58" s="68">
        <f>H58/(100-BE58)*100</f>
        <v>0</v>
      </c>
      <c r="BE58" s="68">
        <v>0</v>
      </c>
      <c r="BF58" s="68">
        <f>58</f>
        <v>58</v>
      </c>
      <c r="BH58" s="42">
        <f>G58*AO58</f>
        <v>0</v>
      </c>
      <c r="BI58" s="42">
        <f>G58*AP58</f>
        <v>0</v>
      </c>
      <c r="BJ58" s="42">
        <f>G58*H58</f>
        <v>0</v>
      </c>
    </row>
    <row r="59" spans="1:62" ht="9" customHeight="1">
      <c r="A59" s="11" t="s">
        <v>50</v>
      </c>
      <c r="B59" s="11" t="s">
        <v>107</v>
      </c>
      <c r="C59" s="11" t="s">
        <v>170</v>
      </c>
      <c r="D59" s="35"/>
      <c r="E59" s="35"/>
      <c r="F59" s="11" t="s">
        <v>194</v>
      </c>
      <c r="G59" s="42">
        <v>1</v>
      </c>
      <c r="H59" s="42">
        <v>0</v>
      </c>
      <c r="I59" s="42">
        <f>G59*AO59</f>
        <v>0</v>
      </c>
      <c r="J59" s="42">
        <f>G59*AP59</f>
        <v>0</v>
      </c>
      <c r="K59" s="42">
        <f>G59*H59</f>
        <v>0</v>
      </c>
      <c r="L59" s="63" t="s">
        <v>215</v>
      </c>
      <c r="Z59" s="68">
        <f>IF(AQ59="5",BJ59,0)</f>
        <v>0</v>
      </c>
      <c r="AB59" s="68">
        <f>IF(AQ59="1",BH59,0)</f>
        <v>0</v>
      </c>
      <c r="AC59" s="68">
        <f>IF(AQ59="1",BI59,0)</f>
        <v>0</v>
      </c>
      <c r="AD59" s="68">
        <f>IF(AQ59="7",BH59,0)</f>
        <v>0</v>
      </c>
      <c r="AE59" s="68">
        <f>IF(AQ59="7",BI59,0)</f>
        <v>0</v>
      </c>
      <c r="AF59" s="68">
        <f>IF(AQ59="2",BH59,0)</f>
        <v>0</v>
      </c>
      <c r="AG59" s="68">
        <f>IF(AQ59="2",BI59,0)</f>
        <v>0</v>
      </c>
      <c r="AH59" s="68">
        <f>IF(AQ59="0",BJ59,0)</f>
        <v>0</v>
      </c>
      <c r="AI59" s="62" t="s">
        <v>225</v>
      </c>
      <c r="AJ59" s="42">
        <f>IF(AN59=0,K59,0)</f>
        <v>0</v>
      </c>
      <c r="AK59" s="42">
        <f>IF(AN59=15,K59,0)</f>
        <v>0</v>
      </c>
      <c r="AL59" s="42">
        <f>IF(AN59=21,K59,0)</f>
        <v>0</v>
      </c>
      <c r="AN59" s="68">
        <v>15</v>
      </c>
      <c r="AO59" s="68">
        <f>H59*0.360730337078652</f>
        <v>0</v>
      </c>
      <c r="AP59" s="68">
        <f>H59*(1-0.360730337078652)</f>
        <v>0</v>
      </c>
      <c r="AQ59" s="63" t="s">
        <v>13</v>
      </c>
      <c r="AV59" s="68">
        <f>AW59+AX59</f>
        <v>0</v>
      </c>
      <c r="AW59" s="68">
        <f>G59*AO59</f>
        <v>0</v>
      </c>
      <c r="AX59" s="68">
        <f>G59*AP59</f>
        <v>0</v>
      </c>
      <c r="AY59" s="69" t="s">
        <v>229</v>
      </c>
      <c r="AZ59" s="69" t="s">
        <v>234</v>
      </c>
      <c r="BA59" s="62" t="s">
        <v>237</v>
      </c>
      <c r="BC59" s="68">
        <f>AW59+AX59</f>
        <v>0</v>
      </c>
      <c r="BD59" s="68">
        <f>H59/(100-BE59)*100</f>
        <v>0</v>
      </c>
      <c r="BE59" s="68">
        <v>0</v>
      </c>
      <c r="BF59" s="68">
        <f>59</f>
        <v>59</v>
      </c>
      <c r="BH59" s="42">
        <f>G59*AO59</f>
        <v>0</v>
      </c>
      <c r="BI59" s="42">
        <f>G59*AP59</f>
        <v>0</v>
      </c>
      <c r="BJ59" s="42">
        <f>G59*H59</f>
        <v>0</v>
      </c>
    </row>
    <row r="60" spans="1:47" ht="9" customHeight="1">
      <c r="A60" s="10"/>
      <c r="B60" s="24" t="s">
        <v>108</v>
      </c>
      <c r="C60" s="24" t="s">
        <v>171</v>
      </c>
      <c r="D60" s="34"/>
      <c r="E60" s="34"/>
      <c r="F60" s="10" t="s">
        <v>6</v>
      </c>
      <c r="G60" s="10" t="s">
        <v>6</v>
      </c>
      <c r="H60" s="10" t="s">
        <v>6</v>
      </c>
      <c r="I60" s="71">
        <f>SUM(I61:I62)</f>
        <v>0</v>
      </c>
      <c r="J60" s="71">
        <f>SUM(J61:J62)</f>
        <v>0</v>
      </c>
      <c r="K60" s="71">
        <f>SUM(K61:K62)</f>
        <v>0</v>
      </c>
      <c r="L60" s="62"/>
      <c r="AI60" s="62" t="s">
        <v>225</v>
      </c>
      <c r="AS60" s="71">
        <f>SUM(AJ61:AJ62)</f>
        <v>0</v>
      </c>
      <c r="AT60" s="71">
        <f>SUM(AK61:AK62)</f>
        <v>0</v>
      </c>
      <c r="AU60" s="71">
        <f>SUM(AL61:AL62)</f>
        <v>0</v>
      </c>
    </row>
    <row r="61" spans="1:62" ht="9" customHeight="1">
      <c r="A61" s="11" t="s">
        <v>51</v>
      </c>
      <c r="B61" s="11" t="s">
        <v>109</v>
      </c>
      <c r="C61" s="11" t="s">
        <v>172</v>
      </c>
      <c r="D61" s="35"/>
      <c r="E61" s="35"/>
      <c r="F61" s="11" t="s">
        <v>195</v>
      </c>
      <c r="G61" s="42">
        <v>50</v>
      </c>
      <c r="H61" s="42">
        <v>0</v>
      </c>
      <c r="I61" s="42">
        <f>G61*AO61</f>
        <v>0</v>
      </c>
      <c r="J61" s="42">
        <f>G61*AP61</f>
        <v>0</v>
      </c>
      <c r="K61" s="42">
        <f>G61*H61</f>
        <v>0</v>
      </c>
      <c r="L61" s="63"/>
      <c r="Z61" s="68">
        <f>IF(AQ61="5",BJ61,0)</f>
        <v>0</v>
      </c>
      <c r="AB61" s="68">
        <f>IF(AQ61="1",BH61,0)</f>
        <v>0</v>
      </c>
      <c r="AC61" s="68">
        <f>IF(AQ61="1",BI61,0)</f>
        <v>0</v>
      </c>
      <c r="AD61" s="68">
        <f>IF(AQ61="7",BH61,0)</f>
        <v>0</v>
      </c>
      <c r="AE61" s="68">
        <f>IF(AQ61="7",BI61,0)</f>
        <v>0</v>
      </c>
      <c r="AF61" s="68">
        <f>IF(AQ61="2",BH61,0)</f>
        <v>0</v>
      </c>
      <c r="AG61" s="68">
        <f>IF(AQ61="2",BI61,0)</f>
        <v>0</v>
      </c>
      <c r="AH61" s="68">
        <f>IF(AQ61="0",BJ61,0)</f>
        <v>0</v>
      </c>
      <c r="AI61" s="62" t="s">
        <v>225</v>
      </c>
      <c r="AJ61" s="42">
        <f>IF(AN61=0,K61,0)</f>
        <v>0</v>
      </c>
      <c r="AK61" s="42">
        <f>IF(AN61=15,K61,0)</f>
        <v>0</v>
      </c>
      <c r="AL61" s="42">
        <f>IF(AN61=21,K61,0)</f>
        <v>0</v>
      </c>
      <c r="AN61" s="68">
        <v>15</v>
      </c>
      <c r="AO61" s="68">
        <f>H61*0.142857142857143</f>
        <v>0</v>
      </c>
      <c r="AP61" s="68">
        <f>H61*(1-0.142857142857143)</f>
        <v>0</v>
      </c>
      <c r="AQ61" s="63" t="s">
        <v>7</v>
      </c>
      <c r="AV61" s="68">
        <f>AW61+AX61</f>
        <v>0</v>
      </c>
      <c r="AW61" s="68">
        <f>G61*AO61</f>
        <v>0</v>
      </c>
      <c r="AX61" s="68">
        <f>G61*AP61</f>
        <v>0</v>
      </c>
      <c r="AY61" s="69" t="s">
        <v>230</v>
      </c>
      <c r="AZ61" s="69" t="s">
        <v>235</v>
      </c>
      <c r="BA61" s="62" t="s">
        <v>237</v>
      </c>
      <c r="BC61" s="68">
        <f>AW61+AX61</f>
        <v>0</v>
      </c>
      <c r="BD61" s="68">
        <f>H61/(100-BE61)*100</f>
        <v>0</v>
      </c>
      <c r="BE61" s="68">
        <v>0</v>
      </c>
      <c r="BF61" s="68">
        <f>61</f>
        <v>61</v>
      </c>
      <c r="BH61" s="42">
        <f>G61*AO61</f>
        <v>0</v>
      </c>
      <c r="BI61" s="42">
        <f>G61*AP61</f>
        <v>0</v>
      </c>
      <c r="BJ61" s="42">
        <f>G61*H61</f>
        <v>0</v>
      </c>
    </row>
    <row r="62" spans="1:62" ht="9" customHeight="1">
      <c r="A62" s="11" t="s">
        <v>52</v>
      </c>
      <c r="B62" s="11" t="s">
        <v>110</v>
      </c>
      <c r="C62" s="11" t="s">
        <v>173</v>
      </c>
      <c r="D62" s="35"/>
      <c r="E62" s="35"/>
      <c r="F62" s="11" t="s">
        <v>195</v>
      </c>
      <c r="G62" s="42">
        <v>50</v>
      </c>
      <c r="H62" s="42">
        <v>0</v>
      </c>
      <c r="I62" s="42">
        <f>G62*AO62</f>
        <v>0</v>
      </c>
      <c r="J62" s="42">
        <f>G62*AP62</f>
        <v>0</v>
      </c>
      <c r="K62" s="42">
        <f>G62*H62</f>
        <v>0</v>
      </c>
      <c r="L62" s="63"/>
      <c r="Z62" s="68">
        <f>IF(AQ62="5",BJ62,0)</f>
        <v>0</v>
      </c>
      <c r="AB62" s="68">
        <f>IF(AQ62="1",BH62,0)</f>
        <v>0</v>
      </c>
      <c r="AC62" s="68">
        <f>IF(AQ62="1",BI62,0)</f>
        <v>0</v>
      </c>
      <c r="AD62" s="68">
        <f>IF(AQ62="7",BH62,0)</f>
        <v>0</v>
      </c>
      <c r="AE62" s="68">
        <f>IF(AQ62="7",BI62,0)</f>
        <v>0</v>
      </c>
      <c r="AF62" s="68">
        <f>IF(AQ62="2",BH62,0)</f>
        <v>0</v>
      </c>
      <c r="AG62" s="68">
        <f>IF(AQ62="2",BI62,0)</f>
        <v>0</v>
      </c>
      <c r="AH62" s="68">
        <f>IF(AQ62="0",BJ62,0)</f>
        <v>0</v>
      </c>
      <c r="AI62" s="62" t="s">
        <v>225</v>
      </c>
      <c r="AJ62" s="42">
        <f>IF(AN62=0,K62,0)</f>
        <v>0</v>
      </c>
      <c r="AK62" s="42">
        <f>IF(AN62=15,K62,0)</f>
        <v>0</v>
      </c>
      <c r="AL62" s="42">
        <f>IF(AN62=21,K62,0)</f>
        <v>0</v>
      </c>
      <c r="AN62" s="68">
        <v>15</v>
      </c>
      <c r="AO62" s="68">
        <f>H62*0.142857142857143</f>
        <v>0</v>
      </c>
      <c r="AP62" s="68">
        <f>H62*(1-0.142857142857143)</f>
        <v>0</v>
      </c>
      <c r="AQ62" s="63" t="s">
        <v>7</v>
      </c>
      <c r="AV62" s="68">
        <f>AW62+AX62</f>
        <v>0</v>
      </c>
      <c r="AW62" s="68">
        <f>G62*AO62</f>
        <v>0</v>
      </c>
      <c r="AX62" s="68">
        <f>G62*AP62</f>
        <v>0</v>
      </c>
      <c r="AY62" s="69" t="s">
        <v>230</v>
      </c>
      <c r="AZ62" s="69" t="s">
        <v>235</v>
      </c>
      <c r="BA62" s="62" t="s">
        <v>237</v>
      </c>
      <c r="BC62" s="68">
        <f>AW62+AX62</f>
        <v>0</v>
      </c>
      <c r="BD62" s="68">
        <f>H62/(100-BE62)*100</f>
        <v>0</v>
      </c>
      <c r="BE62" s="68">
        <v>0</v>
      </c>
      <c r="BF62" s="68">
        <f>62</f>
        <v>62</v>
      </c>
      <c r="BH62" s="42">
        <f>G62*AO62</f>
        <v>0</v>
      </c>
      <c r="BI62" s="42">
        <f>G62*AP62</f>
        <v>0</v>
      </c>
      <c r="BJ62" s="42">
        <f>G62*H62</f>
        <v>0</v>
      </c>
    </row>
    <row r="63" spans="1:47" ht="9" customHeight="1">
      <c r="A63" s="10"/>
      <c r="B63" s="24" t="s">
        <v>111</v>
      </c>
      <c r="C63" s="24" t="s">
        <v>174</v>
      </c>
      <c r="D63" s="34"/>
      <c r="E63" s="34"/>
      <c r="F63" s="10" t="s">
        <v>6</v>
      </c>
      <c r="G63" s="10" t="s">
        <v>6</v>
      </c>
      <c r="H63" s="10" t="s">
        <v>6</v>
      </c>
      <c r="I63" s="71">
        <f>SUM(I64:I64)</f>
        <v>0</v>
      </c>
      <c r="J63" s="71">
        <f>SUM(J64:J64)</f>
        <v>0</v>
      </c>
      <c r="K63" s="71">
        <f>SUM(K64:K64)</f>
        <v>0</v>
      </c>
      <c r="L63" s="62"/>
      <c r="AI63" s="62" t="s">
        <v>225</v>
      </c>
      <c r="AS63" s="71">
        <f>SUM(AJ64:AJ64)</f>
        <v>0</v>
      </c>
      <c r="AT63" s="71">
        <f>SUM(AK64:AK64)</f>
        <v>0</v>
      </c>
      <c r="AU63" s="71">
        <f>SUM(AL64:AL64)</f>
        <v>0</v>
      </c>
    </row>
    <row r="64" spans="1:62" ht="9" customHeight="1">
      <c r="A64" s="11" t="s">
        <v>53</v>
      </c>
      <c r="B64" s="11" t="s">
        <v>112</v>
      </c>
      <c r="C64" s="11" t="s">
        <v>175</v>
      </c>
      <c r="D64" s="35"/>
      <c r="E64" s="35"/>
      <c r="F64" s="11" t="s">
        <v>196</v>
      </c>
      <c r="G64" s="42">
        <v>4</v>
      </c>
      <c r="H64" s="42">
        <v>0</v>
      </c>
      <c r="I64" s="42">
        <f>G64*AO64</f>
        <v>0</v>
      </c>
      <c r="J64" s="42">
        <f>G64*AP64</f>
        <v>0</v>
      </c>
      <c r="K64" s="42">
        <f>G64*H64</f>
        <v>0</v>
      </c>
      <c r="L64" s="63"/>
      <c r="Z64" s="68">
        <f>IF(AQ64="5",BJ64,0)</f>
        <v>0</v>
      </c>
      <c r="AB64" s="68">
        <f>IF(AQ64="1",BH64,0)</f>
        <v>0</v>
      </c>
      <c r="AC64" s="68">
        <f>IF(AQ64="1",BI64,0)</f>
        <v>0</v>
      </c>
      <c r="AD64" s="68">
        <f>IF(AQ64="7",BH64,0)</f>
        <v>0</v>
      </c>
      <c r="AE64" s="68">
        <f>IF(AQ64="7",BI64,0)</f>
        <v>0</v>
      </c>
      <c r="AF64" s="68">
        <f>IF(AQ64="2",BH64,0)</f>
        <v>0</v>
      </c>
      <c r="AG64" s="68">
        <f>IF(AQ64="2",BI64,0)</f>
        <v>0</v>
      </c>
      <c r="AH64" s="68">
        <f>IF(AQ64="0",BJ64,0)</f>
        <v>0</v>
      </c>
      <c r="AI64" s="62" t="s">
        <v>225</v>
      </c>
      <c r="AJ64" s="42">
        <f>IF(AN64=0,K64,0)</f>
        <v>0</v>
      </c>
      <c r="AK64" s="42">
        <f>IF(AN64=15,K64,0)</f>
        <v>0</v>
      </c>
      <c r="AL64" s="42">
        <f>IF(AN64=21,K64,0)</f>
        <v>0</v>
      </c>
      <c r="AN64" s="68">
        <v>15</v>
      </c>
      <c r="AO64" s="68">
        <f>H64*0.025</f>
        <v>0</v>
      </c>
      <c r="AP64" s="68">
        <f>H64*(1-0.025)</f>
        <v>0</v>
      </c>
      <c r="AQ64" s="63" t="s">
        <v>7</v>
      </c>
      <c r="AV64" s="68">
        <f>AW64+AX64</f>
        <v>0</v>
      </c>
      <c r="AW64" s="68">
        <f>G64*AO64</f>
        <v>0</v>
      </c>
      <c r="AX64" s="68">
        <f>G64*AP64</f>
        <v>0</v>
      </c>
      <c r="AY64" s="69" t="s">
        <v>231</v>
      </c>
      <c r="AZ64" s="69" t="s">
        <v>235</v>
      </c>
      <c r="BA64" s="62" t="s">
        <v>237</v>
      </c>
      <c r="BC64" s="68">
        <f>AW64+AX64</f>
        <v>0</v>
      </c>
      <c r="BD64" s="68">
        <f>H64/(100-BE64)*100</f>
        <v>0</v>
      </c>
      <c r="BE64" s="68">
        <v>0</v>
      </c>
      <c r="BF64" s="68">
        <f>64</f>
        <v>64</v>
      </c>
      <c r="BH64" s="42">
        <f>G64*AO64</f>
        <v>0</v>
      </c>
      <c r="BI64" s="42">
        <f>G64*AP64</f>
        <v>0</v>
      </c>
      <c r="BJ64" s="42">
        <f>G64*H64</f>
        <v>0</v>
      </c>
    </row>
    <row r="65" spans="1:47" ht="9" customHeight="1">
      <c r="A65" s="10"/>
      <c r="B65" s="24"/>
      <c r="C65" s="24" t="s">
        <v>176</v>
      </c>
      <c r="D65" s="34"/>
      <c r="E65" s="34"/>
      <c r="F65" s="10" t="s">
        <v>6</v>
      </c>
      <c r="G65" s="10" t="s">
        <v>6</v>
      </c>
      <c r="H65" s="10" t="s">
        <v>6</v>
      </c>
      <c r="I65" s="71">
        <f>SUM(I66:I70)</f>
        <v>0</v>
      </c>
      <c r="J65" s="71">
        <f>SUM(J66:J70)</f>
        <v>0</v>
      </c>
      <c r="K65" s="71">
        <f>SUM(K66:K70)</f>
        <v>0</v>
      </c>
      <c r="L65" s="62"/>
      <c r="AI65" s="62" t="s">
        <v>225</v>
      </c>
      <c r="AS65" s="71">
        <f>SUM(AJ66:AJ70)</f>
        <v>0</v>
      </c>
      <c r="AT65" s="71">
        <f>SUM(AK66:AK70)</f>
        <v>0</v>
      </c>
      <c r="AU65" s="71">
        <f>SUM(AL66:AL70)</f>
        <v>0</v>
      </c>
    </row>
    <row r="66" spans="1:62" ht="9" customHeight="1">
      <c r="A66" s="12" t="s">
        <v>54</v>
      </c>
      <c r="B66" s="12" t="s">
        <v>113</v>
      </c>
      <c r="C66" s="12" t="s">
        <v>177</v>
      </c>
      <c r="D66" s="36"/>
      <c r="E66" s="36"/>
      <c r="F66" s="12" t="s">
        <v>197</v>
      </c>
      <c r="G66" s="43">
        <v>0.2</v>
      </c>
      <c r="H66" s="43">
        <v>0</v>
      </c>
      <c r="I66" s="43">
        <f>G66*AO66</f>
        <v>0</v>
      </c>
      <c r="J66" s="43">
        <f>G66*AP66</f>
        <v>0</v>
      </c>
      <c r="K66" s="43">
        <f>G66*H66</f>
        <v>0</v>
      </c>
      <c r="L66" s="64" t="s">
        <v>215</v>
      </c>
      <c r="Z66" s="68">
        <f>IF(AQ66="5",BJ66,0)</f>
        <v>0</v>
      </c>
      <c r="AB66" s="68">
        <f>IF(AQ66="1",BH66,0)</f>
        <v>0</v>
      </c>
      <c r="AC66" s="68">
        <f>IF(AQ66="1",BI66,0)</f>
        <v>0</v>
      </c>
      <c r="AD66" s="68">
        <f>IF(AQ66="7",BH66,0)</f>
        <v>0</v>
      </c>
      <c r="AE66" s="68">
        <f>IF(AQ66="7",BI66,0)</f>
        <v>0</v>
      </c>
      <c r="AF66" s="68">
        <f>IF(AQ66="2",BH66,0)</f>
        <v>0</v>
      </c>
      <c r="AG66" s="68">
        <f>IF(AQ66="2",BI66,0)</f>
        <v>0</v>
      </c>
      <c r="AH66" s="68">
        <f>IF(AQ66="0",BJ66,0)</f>
        <v>0</v>
      </c>
      <c r="AI66" s="62" t="s">
        <v>225</v>
      </c>
      <c r="AJ66" s="43">
        <f>IF(AN66=0,K66,0)</f>
        <v>0</v>
      </c>
      <c r="AK66" s="43">
        <f>IF(AN66=15,K66,0)</f>
        <v>0</v>
      </c>
      <c r="AL66" s="43">
        <f>IF(AN66=21,K66,0)</f>
        <v>0</v>
      </c>
      <c r="AN66" s="68">
        <v>15</v>
      </c>
      <c r="AO66" s="68">
        <f>H66*1</f>
        <v>0</v>
      </c>
      <c r="AP66" s="68">
        <f>H66*(1-1)</f>
        <v>0</v>
      </c>
      <c r="AQ66" s="64" t="s">
        <v>226</v>
      </c>
      <c r="AV66" s="68">
        <f>AW66+AX66</f>
        <v>0</v>
      </c>
      <c r="AW66" s="68">
        <f>G66*AO66</f>
        <v>0</v>
      </c>
      <c r="AX66" s="68">
        <f>G66*AP66</f>
        <v>0</v>
      </c>
      <c r="AY66" s="69" t="s">
        <v>232</v>
      </c>
      <c r="AZ66" s="69" t="s">
        <v>236</v>
      </c>
      <c r="BA66" s="62" t="s">
        <v>237</v>
      </c>
      <c r="BC66" s="68">
        <f>AW66+AX66</f>
        <v>0</v>
      </c>
      <c r="BD66" s="68">
        <f>H66/(100-BE66)*100</f>
        <v>0</v>
      </c>
      <c r="BE66" s="68">
        <v>0</v>
      </c>
      <c r="BF66" s="68">
        <f>66</f>
        <v>66</v>
      </c>
      <c r="BH66" s="43">
        <f>G66*AO66</f>
        <v>0</v>
      </c>
      <c r="BI66" s="43">
        <f>G66*AP66</f>
        <v>0</v>
      </c>
      <c r="BJ66" s="43">
        <f>G66*H66</f>
        <v>0</v>
      </c>
    </row>
    <row r="67" spans="1:62" ht="9" customHeight="1">
      <c r="A67" s="12" t="s">
        <v>55</v>
      </c>
      <c r="B67" s="12" t="s">
        <v>114</v>
      </c>
      <c r="C67" s="12" t="s">
        <v>178</v>
      </c>
      <c r="D67" s="36"/>
      <c r="E67" s="36"/>
      <c r="F67" s="12" t="s">
        <v>190</v>
      </c>
      <c r="G67" s="43">
        <v>5</v>
      </c>
      <c r="H67" s="43">
        <v>0</v>
      </c>
      <c r="I67" s="43">
        <f>G67*AO67</f>
        <v>0</v>
      </c>
      <c r="J67" s="43">
        <f>G67*AP67</f>
        <v>0</v>
      </c>
      <c r="K67" s="43">
        <f>G67*H67</f>
        <v>0</v>
      </c>
      <c r="L67" s="64" t="s">
        <v>215</v>
      </c>
      <c r="Z67" s="68">
        <f>IF(AQ67="5",BJ67,0)</f>
        <v>0</v>
      </c>
      <c r="AB67" s="68">
        <f>IF(AQ67="1",BH67,0)</f>
        <v>0</v>
      </c>
      <c r="AC67" s="68">
        <f>IF(AQ67="1",BI67,0)</f>
        <v>0</v>
      </c>
      <c r="AD67" s="68">
        <f>IF(AQ67="7",BH67,0)</f>
        <v>0</v>
      </c>
      <c r="AE67" s="68">
        <f>IF(AQ67="7",BI67,0)</f>
        <v>0</v>
      </c>
      <c r="AF67" s="68">
        <f>IF(AQ67="2",BH67,0)</f>
        <v>0</v>
      </c>
      <c r="AG67" s="68">
        <f>IF(AQ67="2",BI67,0)</f>
        <v>0</v>
      </c>
      <c r="AH67" s="68">
        <f>IF(AQ67="0",BJ67,0)</f>
        <v>0</v>
      </c>
      <c r="AI67" s="62" t="s">
        <v>225</v>
      </c>
      <c r="AJ67" s="43">
        <f>IF(AN67=0,K67,0)</f>
        <v>0</v>
      </c>
      <c r="AK67" s="43">
        <f>IF(AN67=15,K67,0)</f>
        <v>0</v>
      </c>
      <c r="AL67" s="43">
        <f>IF(AN67=21,K67,0)</f>
        <v>0</v>
      </c>
      <c r="AN67" s="68">
        <v>15</v>
      </c>
      <c r="AO67" s="68">
        <f>H67*1</f>
        <v>0</v>
      </c>
      <c r="AP67" s="68">
        <f>H67*(1-1)</f>
        <v>0</v>
      </c>
      <c r="AQ67" s="64" t="s">
        <v>226</v>
      </c>
      <c r="AV67" s="68">
        <f>AW67+AX67</f>
        <v>0</v>
      </c>
      <c r="AW67" s="68">
        <f>G67*AO67</f>
        <v>0</v>
      </c>
      <c r="AX67" s="68">
        <f>G67*AP67</f>
        <v>0</v>
      </c>
      <c r="AY67" s="69" t="s">
        <v>232</v>
      </c>
      <c r="AZ67" s="69" t="s">
        <v>236</v>
      </c>
      <c r="BA67" s="62" t="s">
        <v>237</v>
      </c>
      <c r="BC67" s="68">
        <f>AW67+AX67</f>
        <v>0</v>
      </c>
      <c r="BD67" s="68">
        <f>H67/(100-BE67)*100</f>
        <v>0</v>
      </c>
      <c r="BE67" s="68">
        <v>0</v>
      </c>
      <c r="BF67" s="68">
        <f>67</f>
        <v>67</v>
      </c>
      <c r="BH67" s="43">
        <f>G67*AO67</f>
        <v>0</v>
      </c>
      <c r="BI67" s="43">
        <f>G67*AP67</f>
        <v>0</v>
      </c>
      <c r="BJ67" s="43">
        <f>G67*H67</f>
        <v>0</v>
      </c>
    </row>
    <row r="68" spans="1:62" ht="9" customHeight="1">
      <c r="A68" s="12" t="s">
        <v>56</v>
      </c>
      <c r="B68" s="12" t="s">
        <v>115</v>
      </c>
      <c r="C68" s="12" t="s">
        <v>179</v>
      </c>
      <c r="D68" s="36"/>
      <c r="E68" s="36"/>
      <c r="F68" s="12" t="s">
        <v>190</v>
      </c>
      <c r="G68" s="43">
        <v>1</v>
      </c>
      <c r="H68" s="43">
        <v>0</v>
      </c>
      <c r="I68" s="43">
        <f>G68*AO68</f>
        <v>0</v>
      </c>
      <c r="J68" s="43">
        <f>G68*AP68</f>
        <v>0</v>
      </c>
      <c r="K68" s="43">
        <f>G68*H68</f>
        <v>0</v>
      </c>
      <c r="L68" s="64" t="s">
        <v>215</v>
      </c>
      <c r="Z68" s="68">
        <f>IF(AQ68="5",BJ68,0)</f>
        <v>0</v>
      </c>
      <c r="AB68" s="68">
        <f>IF(AQ68="1",BH68,0)</f>
        <v>0</v>
      </c>
      <c r="AC68" s="68">
        <f>IF(AQ68="1",BI68,0)</f>
        <v>0</v>
      </c>
      <c r="AD68" s="68">
        <f>IF(AQ68="7",BH68,0)</f>
        <v>0</v>
      </c>
      <c r="AE68" s="68">
        <f>IF(AQ68="7",BI68,0)</f>
        <v>0</v>
      </c>
      <c r="AF68" s="68">
        <f>IF(AQ68="2",BH68,0)</f>
        <v>0</v>
      </c>
      <c r="AG68" s="68">
        <f>IF(AQ68="2",BI68,0)</f>
        <v>0</v>
      </c>
      <c r="AH68" s="68">
        <f>IF(AQ68="0",BJ68,0)</f>
        <v>0</v>
      </c>
      <c r="AI68" s="62" t="s">
        <v>225</v>
      </c>
      <c r="AJ68" s="43">
        <f>IF(AN68=0,K68,0)</f>
        <v>0</v>
      </c>
      <c r="AK68" s="43">
        <f>IF(AN68=15,K68,0)</f>
        <v>0</v>
      </c>
      <c r="AL68" s="43">
        <f>IF(AN68=21,K68,0)</f>
        <v>0</v>
      </c>
      <c r="AN68" s="68">
        <v>15</v>
      </c>
      <c r="AO68" s="68">
        <f>H68*1</f>
        <v>0</v>
      </c>
      <c r="AP68" s="68">
        <f>H68*(1-1)</f>
        <v>0</v>
      </c>
      <c r="AQ68" s="64" t="s">
        <v>226</v>
      </c>
      <c r="AV68" s="68">
        <f>AW68+AX68</f>
        <v>0</v>
      </c>
      <c r="AW68" s="68">
        <f>G68*AO68</f>
        <v>0</v>
      </c>
      <c r="AX68" s="68">
        <f>G68*AP68</f>
        <v>0</v>
      </c>
      <c r="AY68" s="69" t="s">
        <v>232</v>
      </c>
      <c r="AZ68" s="69" t="s">
        <v>236</v>
      </c>
      <c r="BA68" s="62" t="s">
        <v>237</v>
      </c>
      <c r="BC68" s="68">
        <f>AW68+AX68</f>
        <v>0</v>
      </c>
      <c r="BD68" s="68">
        <f>H68/(100-BE68)*100</f>
        <v>0</v>
      </c>
      <c r="BE68" s="68">
        <v>0</v>
      </c>
      <c r="BF68" s="68">
        <f>68</f>
        <v>68</v>
      </c>
      <c r="BH68" s="43">
        <f>G68*AO68</f>
        <v>0</v>
      </c>
      <c r="BI68" s="43">
        <f>G68*AP68</f>
        <v>0</v>
      </c>
      <c r="BJ68" s="43">
        <f>G68*H68</f>
        <v>0</v>
      </c>
    </row>
    <row r="69" spans="1:62" ht="9" customHeight="1">
      <c r="A69" s="12" t="s">
        <v>57</v>
      </c>
      <c r="B69" s="12" t="s">
        <v>116</v>
      </c>
      <c r="C69" s="12" t="s">
        <v>180</v>
      </c>
      <c r="D69" s="36"/>
      <c r="E69" s="36"/>
      <c r="F69" s="12" t="s">
        <v>190</v>
      </c>
      <c r="G69" s="43">
        <v>6</v>
      </c>
      <c r="H69" s="43">
        <v>0</v>
      </c>
      <c r="I69" s="43">
        <f>G69*AO69</f>
        <v>0</v>
      </c>
      <c r="J69" s="43">
        <f>G69*AP69</f>
        <v>0</v>
      </c>
      <c r="K69" s="43">
        <f>G69*H69</f>
        <v>0</v>
      </c>
      <c r="L69" s="64" t="s">
        <v>215</v>
      </c>
      <c r="Z69" s="68">
        <f>IF(AQ69="5",BJ69,0)</f>
        <v>0</v>
      </c>
      <c r="AB69" s="68">
        <f>IF(AQ69="1",BH69,0)</f>
        <v>0</v>
      </c>
      <c r="AC69" s="68">
        <f>IF(AQ69="1",BI69,0)</f>
        <v>0</v>
      </c>
      <c r="AD69" s="68">
        <f>IF(AQ69="7",BH69,0)</f>
        <v>0</v>
      </c>
      <c r="AE69" s="68">
        <f>IF(AQ69="7",BI69,0)</f>
        <v>0</v>
      </c>
      <c r="AF69" s="68">
        <f>IF(AQ69="2",BH69,0)</f>
        <v>0</v>
      </c>
      <c r="AG69" s="68">
        <f>IF(AQ69="2",BI69,0)</f>
        <v>0</v>
      </c>
      <c r="AH69" s="68">
        <f>IF(AQ69="0",BJ69,0)</f>
        <v>0</v>
      </c>
      <c r="AI69" s="62" t="s">
        <v>225</v>
      </c>
      <c r="AJ69" s="43">
        <f>IF(AN69=0,K69,0)</f>
        <v>0</v>
      </c>
      <c r="AK69" s="43">
        <f>IF(AN69=15,K69,0)</f>
        <v>0</v>
      </c>
      <c r="AL69" s="43">
        <f>IF(AN69=21,K69,0)</f>
        <v>0</v>
      </c>
      <c r="AN69" s="68">
        <v>15</v>
      </c>
      <c r="AO69" s="68">
        <f>H69*1</f>
        <v>0</v>
      </c>
      <c r="AP69" s="68">
        <f>H69*(1-1)</f>
        <v>0</v>
      </c>
      <c r="AQ69" s="64" t="s">
        <v>226</v>
      </c>
      <c r="AV69" s="68">
        <f>AW69+AX69</f>
        <v>0</v>
      </c>
      <c r="AW69" s="68">
        <f>G69*AO69</f>
        <v>0</v>
      </c>
      <c r="AX69" s="68">
        <f>G69*AP69</f>
        <v>0</v>
      </c>
      <c r="AY69" s="69" t="s">
        <v>232</v>
      </c>
      <c r="AZ69" s="69" t="s">
        <v>236</v>
      </c>
      <c r="BA69" s="62" t="s">
        <v>237</v>
      </c>
      <c r="BC69" s="68">
        <f>AW69+AX69</f>
        <v>0</v>
      </c>
      <c r="BD69" s="68">
        <f>H69/(100-BE69)*100</f>
        <v>0</v>
      </c>
      <c r="BE69" s="68">
        <v>0</v>
      </c>
      <c r="BF69" s="68">
        <f>69</f>
        <v>69</v>
      </c>
      <c r="BH69" s="43">
        <f>G69*AO69</f>
        <v>0</v>
      </c>
      <c r="BI69" s="43">
        <f>G69*AP69</f>
        <v>0</v>
      </c>
      <c r="BJ69" s="43">
        <f>G69*H69</f>
        <v>0</v>
      </c>
    </row>
    <row r="70" spans="1:62" ht="9" customHeight="1">
      <c r="A70" s="13" t="s">
        <v>58</v>
      </c>
      <c r="B70" s="13" t="s">
        <v>117</v>
      </c>
      <c r="C70" s="13" t="s">
        <v>181</v>
      </c>
      <c r="D70" s="37"/>
      <c r="E70" s="37"/>
      <c r="F70" s="13" t="s">
        <v>198</v>
      </c>
      <c r="G70" s="44">
        <v>50</v>
      </c>
      <c r="H70" s="44">
        <v>0</v>
      </c>
      <c r="I70" s="44">
        <f>G70*AO70</f>
        <v>0</v>
      </c>
      <c r="J70" s="44">
        <f>G70*AP70</f>
        <v>0</v>
      </c>
      <c r="K70" s="44">
        <f>G70*H70</f>
        <v>0</v>
      </c>
      <c r="L70" s="65"/>
      <c r="Z70" s="68">
        <f>IF(AQ70="5",BJ70,0)</f>
        <v>0</v>
      </c>
      <c r="AB70" s="68">
        <f>IF(AQ70="1",BH70,0)</f>
        <v>0</v>
      </c>
      <c r="AC70" s="68">
        <f>IF(AQ70="1",BI70,0)</f>
        <v>0</v>
      </c>
      <c r="AD70" s="68">
        <f>IF(AQ70="7",BH70,0)</f>
        <v>0</v>
      </c>
      <c r="AE70" s="68">
        <f>IF(AQ70="7",BI70,0)</f>
        <v>0</v>
      </c>
      <c r="AF70" s="68">
        <f>IF(AQ70="2",BH70,0)</f>
        <v>0</v>
      </c>
      <c r="AG70" s="68">
        <f>IF(AQ70="2",BI70,0)</f>
        <v>0</v>
      </c>
      <c r="AH70" s="68">
        <f>IF(AQ70="0",BJ70,0)</f>
        <v>0</v>
      </c>
      <c r="AI70" s="62" t="s">
        <v>225</v>
      </c>
      <c r="AJ70" s="43">
        <f>IF(AN70=0,K70,0)</f>
        <v>0</v>
      </c>
      <c r="AK70" s="43">
        <f>IF(AN70=15,K70,0)</f>
        <v>0</v>
      </c>
      <c r="AL70" s="43">
        <f>IF(AN70=21,K70,0)</f>
        <v>0</v>
      </c>
      <c r="AN70" s="68">
        <v>15</v>
      </c>
      <c r="AO70" s="68">
        <f>H70*1</f>
        <v>0</v>
      </c>
      <c r="AP70" s="68">
        <f>H70*(1-1)</f>
        <v>0</v>
      </c>
      <c r="AQ70" s="64" t="s">
        <v>226</v>
      </c>
      <c r="AV70" s="68">
        <f>AW70+AX70</f>
        <v>0</v>
      </c>
      <c r="AW70" s="68">
        <f>G70*AO70</f>
        <v>0</v>
      </c>
      <c r="AX70" s="68">
        <f>G70*AP70</f>
        <v>0</v>
      </c>
      <c r="AY70" s="69" t="s">
        <v>232</v>
      </c>
      <c r="AZ70" s="69" t="s">
        <v>236</v>
      </c>
      <c r="BA70" s="62" t="s">
        <v>237</v>
      </c>
      <c r="BC70" s="68">
        <f>AW70+AX70</f>
        <v>0</v>
      </c>
      <c r="BD70" s="68">
        <f>H70/(100-BE70)*100</f>
        <v>0</v>
      </c>
      <c r="BE70" s="68">
        <v>0</v>
      </c>
      <c r="BF70" s="68">
        <f>70</f>
        <v>70</v>
      </c>
      <c r="BH70" s="43">
        <f>G70*AO70</f>
        <v>0</v>
      </c>
      <c r="BI70" s="43">
        <f>G70*AP70</f>
        <v>0</v>
      </c>
      <c r="BJ70" s="43">
        <f>G70*H70</f>
        <v>0</v>
      </c>
    </row>
    <row r="71" spans="1:12" ht="9" customHeight="1">
      <c r="A71" s="14"/>
      <c r="B71" s="14"/>
      <c r="C71" s="14"/>
      <c r="D71" s="14"/>
      <c r="E71" s="14"/>
      <c r="F71" s="14"/>
      <c r="G71" s="14"/>
      <c r="H71" s="14"/>
      <c r="I71" s="50" t="s">
        <v>210</v>
      </c>
      <c r="J71" s="53"/>
      <c r="K71" s="72">
        <f>K13+K51+K56+K60+K63+K65</f>
        <v>0</v>
      </c>
      <c r="L71" s="14"/>
    </row>
    <row r="72" ht="8.25" customHeight="1">
      <c r="A72" s="15" t="s">
        <v>59</v>
      </c>
    </row>
    <row r="73" spans="1:12" ht="12.75" customHeight="1">
      <c r="A73" s="16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</row>
  </sheetData>
  <mergeCells count="89">
    <mergeCell ref="A1:L1"/>
    <mergeCell ref="A2:B3"/>
    <mergeCell ref="C2:C3"/>
    <mergeCell ref="D2:E3"/>
    <mergeCell ref="F2:F3"/>
    <mergeCell ref="G2:G3"/>
    <mergeCell ref="H2:L3"/>
    <mergeCell ref="A4:B5"/>
    <mergeCell ref="C4:C5"/>
    <mergeCell ref="D4:E5"/>
    <mergeCell ref="F4:F5"/>
    <mergeCell ref="G4:G5"/>
    <mergeCell ref="H4:L5"/>
    <mergeCell ref="A6:B7"/>
    <mergeCell ref="C6:C7"/>
    <mergeCell ref="D6:E7"/>
    <mergeCell ref="F6:F7"/>
    <mergeCell ref="G6:G7"/>
    <mergeCell ref="H6:L7"/>
    <mergeCell ref="A8:B9"/>
    <mergeCell ref="C8:C9"/>
    <mergeCell ref="D8:E9"/>
    <mergeCell ref="F8:F9"/>
    <mergeCell ref="G8:G9"/>
    <mergeCell ref="H8:L9"/>
    <mergeCell ref="C10:E10"/>
    <mergeCell ref="I10:K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I71:J71"/>
    <mergeCell ref="A73:L7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 topLeftCell="A1">
      <pane ySplit="10" topLeftCell="A11" activePane="bottomLeft" state="frozen"/>
      <selection pane="bottomLeft" activeCell="A1" sqref="A1:G1"/>
    </sheetView>
  </sheetViews>
  <sheetFormatPr defaultColWidth="11.57421875" defaultRowHeight="12.75"/>
  <cols>
    <col min="1" max="2" width="16.57421875" customWidth="1"/>
    <col min="3" max="3" width="41.7109375" customWidth="1"/>
    <col min="4" max="4" width="12.140625" customWidth="1"/>
    <col min="5" max="5" width="22.140625" customWidth="1"/>
    <col min="6" max="6" width="21.00390625" customWidth="1"/>
    <col min="7" max="7" width="20.8515625" customWidth="1"/>
    <col min="8" max="9" width="0" hidden="1" customWidth="1"/>
  </cols>
  <sheetData>
    <row r="1" spans="1:7" ht="72.75" customHeight="1">
      <c r="A1" s="129" t="s">
        <v>241</v>
      </c>
      <c r="B1" s="17"/>
      <c r="C1" s="17"/>
      <c r="D1" s="17"/>
      <c r="E1" s="17"/>
      <c r="F1" s="17"/>
      <c r="G1" s="17"/>
    </row>
    <row r="2" spans="1:8" ht="9" customHeight="1">
      <c r="A2" s="3" t="s">
        <v>1</v>
      </c>
      <c r="B2" s="25" t="str">
        <f>'Stavební rozpočet'!C2</f>
        <v>VÝMĚNA ROZVODŮ PLYNU A ETÁŽOVÉ TOPENÍ</v>
      </c>
      <c r="C2" s="53"/>
      <c r="D2" s="40" t="s">
        <v>199</v>
      </c>
      <c r="E2" s="40">
        <f>'Stavební rozpočet'!H2</f>
        <v>0</v>
      </c>
      <c r="F2" s="18"/>
      <c r="G2" s="56"/>
      <c r="H2" s="66"/>
    </row>
    <row r="3" spans="1:8" ht="12" customHeight="1">
      <c r="A3" s="4"/>
      <c r="B3" s="26"/>
      <c r="C3" s="26"/>
      <c r="D3" s="19"/>
      <c r="E3" s="19"/>
      <c r="F3" s="19"/>
      <c r="G3" s="57"/>
      <c r="H3" s="66"/>
    </row>
    <row r="4" spans="1:8" ht="12.75">
      <c r="A4" s="5" t="s">
        <v>2</v>
      </c>
      <c r="B4" s="16" t="str">
        <f>'Stavební rozpočet'!C4</f>
        <v>D.1.4.4 PLYNOINSTALACE</v>
      </c>
      <c r="C4" s="19"/>
      <c r="D4" s="16" t="s">
        <v>200</v>
      </c>
      <c r="E4" s="16" t="str">
        <f>'Stavební rozpočet'!H4</f>
        <v>Ing. Roman Kunert</v>
      </c>
      <c r="F4" s="19"/>
      <c r="G4" s="57"/>
      <c r="H4" s="66"/>
    </row>
    <row r="5" spans="1:8" ht="12.75" customHeight="1">
      <c r="A5" s="4"/>
      <c r="B5" s="19"/>
      <c r="C5" s="19"/>
      <c r="D5" s="19"/>
      <c r="E5" s="19"/>
      <c r="F5" s="19"/>
      <c r="G5" s="57"/>
      <c r="H5" s="66"/>
    </row>
    <row r="6" spans="1:8" ht="12.75">
      <c r="A6" s="5" t="s">
        <v>3</v>
      </c>
      <c r="B6" s="16" t="str">
        <f>'Stavební rozpočet'!C6</f>
        <v>Olomoucká 1415/56, ŠTERNBERK</v>
      </c>
      <c r="C6" s="19"/>
      <c r="D6" s="16" t="s">
        <v>201</v>
      </c>
      <c r="E6" s="16" t="str">
        <f>'Stavební rozpočet'!H6</f>
        <v>dle výb. řízení</v>
      </c>
      <c r="F6" s="19"/>
      <c r="G6" s="57"/>
      <c r="H6" s="66"/>
    </row>
    <row r="7" spans="1:8" ht="12.75" customHeight="1">
      <c r="A7" s="4"/>
      <c r="B7" s="19"/>
      <c r="C7" s="19"/>
      <c r="D7" s="19"/>
      <c r="E7" s="19"/>
      <c r="F7" s="19"/>
      <c r="G7" s="57"/>
      <c r="H7" s="66"/>
    </row>
    <row r="8" spans="1:8" ht="12.75">
      <c r="A8" s="5" t="s">
        <v>202</v>
      </c>
      <c r="B8" s="16" t="str">
        <f>'Stavební rozpočet'!H8</f>
        <v>Ing. Roman Kunert</v>
      </c>
      <c r="C8" s="19"/>
      <c r="D8" s="30" t="s">
        <v>185</v>
      </c>
      <c r="E8" s="16" t="str">
        <f>'Stavební rozpočet'!F8</f>
        <v>14.08.2019</v>
      </c>
      <c r="F8" s="19"/>
      <c r="G8" s="57"/>
      <c r="H8" s="66"/>
    </row>
    <row r="9" spans="1:8" ht="12.75">
      <c r="A9" s="6"/>
      <c r="B9" s="20"/>
      <c r="C9" s="20"/>
      <c r="D9" s="20"/>
      <c r="E9" s="20"/>
      <c r="F9" s="20"/>
      <c r="G9" s="58"/>
      <c r="H9" s="66"/>
    </row>
    <row r="10" spans="1:8" ht="9" customHeight="1">
      <c r="A10" s="73" t="s">
        <v>242</v>
      </c>
      <c r="B10" s="75" t="s">
        <v>60</v>
      </c>
      <c r="C10" s="76" t="s">
        <v>121</v>
      </c>
      <c r="D10" s="77"/>
      <c r="E10" s="79" t="s">
        <v>243</v>
      </c>
      <c r="F10" s="79" t="s">
        <v>244</v>
      </c>
      <c r="G10" s="79" t="s">
        <v>245</v>
      </c>
      <c r="H10" s="66"/>
    </row>
    <row r="11" spans="1:9" ht="12.75">
      <c r="A11" s="74" t="s">
        <v>225</v>
      </c>
      <c r="B11" s="74"/>
      <c r="C11" s="74" t="s">
        <v>123</v>
      </c>
      <c r="D11" s="78"/>
      <c r="E11" s="81">
        <f>'Stavební rozpočet'!I12</f>
        <v>0</v>
      </c>
      <c r="F11" s="81">
        <f>'Stavební rozpočet'!J12</f>
        <v>0</v>
      </c>
      <c r="G11" s="81">
        <f>'Stavební rozpočet'!K12</f>
        <v>0</v>
      </c>
      <c r="H11" s="68" t="s">
        <v>246</v>
      </c>
      <c r="I11" s="68">
        <f>IF(H11="F",0,G11)</f>
        <v>0</v>
      </c>
    </row>
    <row r="12" spans="1:9" ht="12.75">
      <c r="A12" s="30" t="s">
        <v>225</v>
      </c>
      <c r="B12" s="30" t="s">
        <v>61</v>
      </c>
      <c r="C12" s="30" t="s">
        <v>124</v>
      </c>
      <c r="D12" s="19"/>
      <c r="E12" s="68">
        <f>'Stavební rozpočet'!I13</f>
        <v>0</v>
      </c>
      <c r="F12" s="68">
        <f>'Stavební rozpočet'!J13</f>
        <v>0</v>
      </c>
      <c r="G12" s="68">
        <f>'Stavební rozpočet'!K13</f>
        <v>0</v>
      </c>
      <c r="H12" s="68" t="s">
        <v>197</v>
      </c>
      <c r="I12" s="68">
        <f>IF(H12="F",0,G12)</f>
        <v>0</v>
      </c>
    </row>
    <row r="13" spans="1:9" ht="12.75">
      <c r="A13" s="30" t="s">
        <v>225</v>
      </c>
      <c r="B13" s="30" t="s">
        <v>99</v>
      </c>
      <c r="C13" s="30" t="s">
        <v>162</v>
      </c>
      <c r="D13" s="19"/>
      <c r="E13" s="68">
        <f>'Stavební rozpočet'!I51</f>
        <v>0</v>
      </c>
      <c r="F13" s="68">
        <f>'Stavební rozpočet'!J51</f>
        <v>0</v>
      </c>
      <c r="G13" s="68">
        <f>'Stavební rozpočet'!K51</f>
        <v>0</v>
      </c>
      <c r="H13" s="68" t="s">
        <v>197</v>
      </c>
      <c r="I13" s="68">
        <f>IF(H13="F",0,G13)</f>
        <v>0</v>
      </c>
    </row>
    <row r="14" spans="1:9" ht="12.75">
      <c r="A14" s="30" t="s">
        <v>225</v>
      </c>
      <c r="B14" s="30" t="s">
        <v>104</v>
      </c>
      <c r="C14" s="30" t="s">
        <v>167</v>
      </c>
      <c r="D14" s="19"/>
      <c r="E14" s="68">
        <f>'Stavební rozpočet'!I56</f>
        <v>0</v>
      </c>
      <c r="F14" s="68">
        <f>'Stavební rozpočet'!J56</f>
        <v>0</v>
      </c>
      <c r="G14" s="68">
        <f>'Stavební rozpočet'!K56</f>
        <v>0</v>
      </c>
      <c r="H14" s="68" t="s">
        <v>197</v>
      </c>
      <c r="I14" s="68">
        <f>IF(H14="F",0,G14)</f>
        <v>0</v>
      </c>
    </row>
    <row r="15" spans="1:9" ht="12.75">
      <c r="A15" s="30" t="s">
        <v>225</v>
      </c>
      <c r="B15" s="30" t="s">
        <v>108</v>
      </c>
      <c r="C15" s="30" t="s">
        <v>171</v>
      </c>
      <c r="D15" s="19"/>
      <c r="E15" s="68">
        <f>'Stavební rozpočet'!I60</f>
        <v>0</v>
      </c>
      <c r="F15" s="68">
        <f>'Stavební rozpočet'!J60</f>
        <v>0</v>
      </c>
      <c r="G15" s="68">
        <f>'Stavební rozpočet'!K60</f>
        <v>0</v>
      </c>
      <c r="H15" s="68" t="s">
        <v>197</v>
      </c>
      <c r="I15" s="68">
        <f>IF(H15="F",0,G15)</f>
        <v>0</v>
      </c>
    </row>
    <row r="16" spans="1:9" ht="12.75">
      <c r="A16" s="30" t="s">
        <v>225</v>
      </c>
      <c r="B16" s="30" t="s">
        <v>111</v>
      </c>
      <c r="C16" s="30" t="s">
        <v>174</v>
      </c>
      <c r="D16" s="19"/>
      <c r="E16" s="68">
        <f>'Stavební rozpočet'!I63</f>
        <v>0</v>
      </c>
      <c r="F16" s="68">
        <f>'Stavební rozpočet'!J63</f>
        <v>0</v>
      </c>
      <c r="G16" s="68">
        <f>'Stavební rozpočet'!K63</f>
        <v>0</v>
      </c>
      <c r="H16" s="68" t="s">
        <v>197</v>
      </c>
      <c r="I16" s="68">
        <f>IF(H16="F",0,G16)</f>
        <v>0</v>
      </c>
    </row>
    <row r="17" spans="1:9" ht="12.75">
      <c r="A17" s="30" t="s">
        <v>225</v>
      </c>
      <c r="B17" s="30"/>
      <c r="C17" s="30" t="s">
        <v>176</v>
      </c>
      <c r="D17" s="19"/>
      <c r="E17" s="68">
        <f>'Stavební rozpočet'!I65</f>
        <v>0</v>
      </c>
      <c r="F17" s="68">
        <f>'Stavební rozpočet'!J65</f>
        <v>0</v>
      </c>
      <c r="G17" s="68">
        <f>'Stavební rozpočet'!K65</f>
        <v>0</v>
      </c>
      <c r="H17" s="68" t="s">
        <v>197</v>
      </c>
      <c r="I17" s="68">
        <f>IF(H17="F",0,G17)</f>
        <v>0</v>
      </c>
    </row>
    <row r="19" spans="6:7" ht="9" customHeight="1">
      <c r="F19" s="80" t="s">
        <v>210</v>
      </c>
      <c r="G19" s="82">
        <f>SUM(I11:I17)</f>
        <v>0</v>
      </c>
    </row>
  </sheetData>
  <mergeCells count="25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  <mergeCell ref="C10:D10"/>
    <mergeCell ref="C11:D11"/>
    <mergeCell ref="C12:D12"/>
    <mergeCell ref="C13:D13"/>
    <mergeCell ref="C14:D14"/>
    <mergeCell ref="C15:D15"/>
    <mergeCell ref="C16:D16"/>
    <mergeCell ref="C17:D17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workbookViewId="0" topLeftCell="A1">
      <pane ySplit="10" topLeftCell="A11" activePane="bottomLeft" state="frozen"/>
      <selection pane="bottomLeft" activeCell="A1" sqref="A1:H1"/>
    </sheetView>
  </sheetViews>
  <sheetFormatPr defaultColWidth="11.57421875" defaultRowHeight="12.75"/>
  <cols>
    <col min="1" max="2" width="9.140625" customWidth="1"/>
    <col min="3" max="3" width="13.28125" customWidth="1"/>
    <col min="4" max="4" width="44.00390625" customWidth="1"/>
    <col min="5" max="5" width="14.57421875" customWidth="1"/>
    <col min="6" max="6" width="24.140625" customWidth="1"/>
    <col min="7" max="7" width="20.421875" customWidth="1"/>
    <col min="8" max="8" width="16.421875" customWidth="1"/>
  </cols>
  <sheetData>
    <row r="1" spans="1:8" ht="72.75" customHeight="1">
      <c r="A1" s="129" t="s">
        <v>247</v>
      </c>
      <c r="B1" s="17"/>
      <c r="C1" s="17"/>
      <c r="D1" s="17"/>
      <c r="E1" s="17"/>
      <c r="F1" s="17"/>
      <c r="G1" s="17"/>
      <c r="H1" s="17"/>
    </row>
    <row r="2" spans="1:9" ht="9" customHeight="1">
      <c r="A2" s="3" t="s">
        <v>1</v>
      </c>
      <c r="B2" s="18"/>
      <c r="C2" s="25" t="str">
        <f>'Stavební rozpočet'!C2</f>
        <v>VÝMĚNA ROZVODŮ PLYNU A ETÁŽOVÉ TOPENÍ</v>
      </c>
      <c r="D2" s="53"/>
      <c r="E2" s="40" t="s">
        <v>199</v>
      </c>
      <c r="F2" s="40">
        <f>'Stavební rozpočet'!H2</f>
        <v>0</v>
      </c>
      <c r="G2" s="18"/>
      <c r="H2" s="56"/>
      <c r="I2" s="66"/>
    </row>
    <row r="3" spans="1:9" ht="12" customHeight="1">
      <c r="A3" s="4"/>
      <c r="B3" s="19"/>
      <c r="C3" s="26"/>
      <c r="D3" s="26"/>
      <c r="E3" s="19"/>
      <c r="F3" s="19"/>
      <c r="G3" s="19"/>
      <c r="H3" s="57"/>
      <c r="I3" s="66"/>
    </row>
    <row r="4" spans="1:9" ht="12.75">
      <c r="A4" s="5" t="s">
        <v>2</v>
      </c>
      <c r="B4" s="19"/>
      <c r="C4" s="16" t="str">
        <f>'Stavební rozpočet'!C4</f>
        <v>D.1.4.4 PLYNOINSTALACE</v>
      </c>
      <c r="D4" s="19"/>
      <c r="E4" s="16" t="s">
        <v>200</v>
      </c>
      <c r="F4" s="16" t="str">
        <f>'Stavební rozpočet'!H4</f>
        <v>Ing. Roman Kunert</v>
      </c>
      <c r="G4" s="19"/>
      <c r="H4" s="57"/>
      <c r="I4" s="66"/>
    </row>
    <row r="5" spans="1:9" ht="12.75" customHeight="1">
      <c r="A5" s="4"/>
      <c r="B5" s="19"/>
      <c r="C5" s="19"/>
      <c r="D5" s="19"/>
      <c r="E5" s="19"/>
      <c r="F5" s="19"/>
      <c r="G5" s="19"/>
      <c r="H5" s="57"/>
      <c r="I5" s="66"/>
    </row>
    <row r="6" spans="1:9" ht="12.75">
      <c r="A6" s="5" t="s">
        <v>3</v>
      </c>
      <c r="B6" s="19"/>
      <c r="C6" s="16" t="str">
        <f>'Stavební rozpočet'!C6</f>
        <v>Olomoucká 1415/56, ŠTERNBERK</v>
      </c>
      <c r="D6" s="19"/>
      <c r="E6" s="16" t="s">
        <v>201</v>
      </c>
      <c r="F6" s="16" t="str">
        <f>'Stavební rozpočet'!H6</f>
        <v>dle výb. řízení</v>
      </c>
      <c r="G6" s="19"/>
      <c r="H6" s="57"/>
      <c r="I6" s="66"/>
    </row>
    <row r="7" spans="1:9" ht="12.75" customHeight="1">
      <c r="A7" s="4"/>
      <c r="B7" s="19"/>
      <c r="C7" s="19"/>
      <c r="D7" s="19"/>
      <c r="E7" s="19"/>
      <c r="F7" s="19"/>
      <c r="G7" s="19"/>
      <c r="H7" s="57"/>
      <c r="I7" s="66"/>
    </row>
    <row r="8" spans="1:9" ht="12.75">
      <c r="A8" s="5" t="s">
        <v>202</v>
      </c>
      <c r="B8" s="19"/>
      <c r="C8" s="16" t="str">
        <f>'Stavební rozpočet'!H8</f>
        <v>Ing. Roman Kunert</v>
      </c>
      <c r="D8" s="19"/>
      <c r="E8" s="16" t="s">
        <v>185</v>
      </c>
      <c r="F8" s="16" t="str">
        <f>'Stavební rozpočet'!F8</f>
        <v>14.08.2019</v>
      </c>
      <c r="G8" s="19"/>
      <c r="H8" s="57"/>
      <c r="I8" s="66"/>
    </row>
    <row r="9" spans="1:9" ht="12.75">
      <c r="A9" s="6"/>
      <c r="B9" s="20"/>
      <c r="C9" s="20"/>
      <c r="D9" s="20"/>
      <c r="E9" s="20"/>
      <c r="F9" s="20"/>
      <c r="G9" s="20"/>
      <c r="H9" s="58"/>
      <c r="I9" s="66"/>
    </row>
    <row r="10" spans="1:9" ht="9" customHeight="1">
      <c r="A10" s="75" t="s">
        <v>5</v>
      </c>
      <c r="B10" s="84" t="s">
        <v>242</v>
      </c>
      <c r="C10" s="84" t="s">
        <v>60</v>
      </c>
      <c r="D10" s="76" t="s">
        <v>121</v>
      </c>
      <c r="E10" s="77"/>
      <c r="F10" s="84" t="s">
        <v>188</v>
      </c>
      <c r="G10" s="85" t="s">
        <v>203</v>
      </c>
      <c r="H10" s="73" t="s">
        <v>248</v>
      </c>
      <c r="I10" s="67"/>
    </row>
    <row r="11" spans="1:8" ht="12.75">
      <c r="A11" s="83"/>
      <c r="B11" s="83"/>
      <c r="C11" s="83"/>
      <c r="D11" s="83"/>
      <c r="E11" s="83"/>
      <c r="F11" s="83"/>
      <c r="G11" s="83"/>
      <c r="H11" s="83"/>
    </row>
    <row r="12" ht="8.25" customHeight="1">
      <c r="A12" s="15" t="s">
        <v>59</v>
      </c>
    </row>
    <row r="13" spans="1:7" ht="12.75" customHeight="1">
      <c r="A13" s="16"/>
      <c r="B13" s="19"/>
      <c r="C13" s="19"/>
      <c r="D13" s="19"/>
      <c r="E13" s="19"/>
      <c r="F13" s="19"/>
      <c r="G13" s="19"/>
    </row>
  </sheetData>
  <mergeCells count="19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  <mergeCell ref="D10:E10"/>
    <mergeCell ref="A13:G1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11.57421875" defaultRowHeight="12.75"/>
  <cols>
    <col min="1" max="1" width="9.140625" customWidth="1"/>
    <col min="2" max="2" width="12.8515625" customWidth="1"/>
    <col min="3" max="3" width="22.8515625" customWidth="1"/>
    <col min="4" max="4" width="10.00390625" customWidth="1"/>
    <col min="5" max="5" width="14.00390625" customWidth="1"/>
    <col min="6" max="6" width="22.8515625" customWidth="1"/>
    <col min="7" max="7" width="9.140625" customWidth="1"/>
    <col min="8" max="8" width="12.8515625" customWidth="1"/>
    <col min="9" max="9" width="22.8515625" customWidth="1"/>
  </cols>
  <sheetData>
    <row r="1" spans="1:9" ht="72.75" customHeight="1">
      <c r="A1" s="128"/>
      <c r="B1" s="86"/>
      <c r="C1" s="108" t="s">
        <v>263</v>
      </c>
      <c r="D1" s="17"/>
      <c r="E1" s="17"/>
      <c r="F1" s="17"/>
      <c r="G1" s="17"/>
      <c r="H1" s="17"/>
      <c r="I1" s="17"/>
    </row>
    <row r="2" spans="1:10" ht="9" customHeight="1">
      <c r="A2" s="3" t="s">
        <v>1</v>
      </c>
      <c r="B2" s="18"/>
      <c r="C2" s="25" t="str">
        <f>'Stavební rozpočet'!C2</f>
        <v>VÝMĚNA ROZVODŮ PLYNU A ETÁŽOVÉ TOPENÍ</v>
      </c>
      <c r="D2" s="53"/>
      <c r="E2" s="40" t="s">
        <v>199</v>
      </c>
      <c r="F2" s="40">
        <f>'Stavební rozpočet'!H2</f>
        <v>0</v>
      </c>
      <c r="G2" s="18"/>
      <c r="H2" s="40" t="s">
        <v>288</v>
      </c>
      <c r="I2" s="122"/>
      <c r="J2" s="66"/>
    </row>
    <row r="3" spans="1:10" ht="12.75" customHeight="1">
      <c r="A3" s="4"/>
      <c r="B3" s="19"/>
      <c r="C3" s="26"/>
      <c r="D3" s="26"/>
      <c r="E3" s="19"/>
      <c r="F3" s="19"/>
      <c r="G3" s="19"/>
      <c r="H3" s="19"/>
      <c r="I3" s="57"/>
      <c r="J3" s="66"/>
    </row>
    <row r="4" spans="1:10" ht="12.75">
      <c r="A4" s="5" t="s">
        <v>2</v>
      </c>
      <c r="B4" s="19"/>
      <c r="C4" s="16" t="str">
        <f>'Stavební rozpočet'!C4</f>
        <v>D.1.4.4 PLYNOINSTALACE</v>
      </c>
      <c r="D4" s="19"/>
      <c r="E4" s="16" t="s">
        <v>200</v>
      </c>
      <c r="F4" s="16" t="str">
        <f>'Stavební rozpočet'!H4</f>
        <v>Ing. Roman Kunert</v>
      </c>
      <c r="G4" s="19"/>
      <c r="H4" s="16" t="s">
        <v>288</v>
      </c>
      <c r="I4" s="123" t="s">
        <v>292</v>
      </c>
      <c r="J4" s="66"/>
    </row>
    <row r="5" spans="1:10" ht="12.75" customHeight="1">
      <c r="A5" s="4"/>
      <c r="B5" s="19"/>
      <c r="C5" s="19"/>
      <c r="D5" s="19"/>
      <c r="E5" s="19"/>
      <c r="F5" s="19"/>
      <c r="G5" s="19"/>
      <c r="H5" s="19"/>
      <c r="I5" s="57"/>
      <c r="J5" s="66"/>
    </row>
    <row r="6" spans="1:10" ht="12.75">
      <c r="A6" s="5" t="s">
        <v>3</v>
      </c>
      <c r="B6" s="19"/>
      <c r="C6" s="16" t="str">
        <f>'Stavební rozpočet'!C6</f>
        <v>Olomoucká 1415/56, ŠTERNBERK</v>
      </c>
      <c r="D6" s="19"/>
      <c r="E6" s="16" t="s">
        <v>201</v>
      </c>
      <c r="F6" s="16" t="str">
        <f>'Stavební rozpočet'!H6</f>
        <v>dle výb. řízení</v>
      </c>
      <c r="G6" s="19"/>
      <c r="H6" s="16" t="s">
        <v>288</v>
      </c>
      <c r="I6" s="123"/>
      <c r="J6" s="66"/>
    </row>
    <row r="7" spans="1:10" ht="12.75" customHeight="1">
      <c r="A7" s="4"/>
      <c r="B7" s="19"/>
      <c r="C7" s="19"/>
      <c r="D7" s="19"/>
      <c r="E7" s="19"/>
      <c r="F7" s="19"/>
      <c r="G7" s="19"/>
      <c r="H7" s="19"/>
      <c r="I7" s="57"/>
      <c r="J7" s="66"/>
    </row>
    <row r="8" spans="1:10" ht="12.75">
      <c r="A8" s="5" t="s">
        <v>183</v>
      </c>
      <c r="B8" s="19"/>
      <c r="C8" s="16" t="str">
        <f>'Stavební rozpočet'!F4</f>
        <v> </v>
      </c>
      <c r="D8" s="19"/>
      <c r="E8" s="16" t="s">
        <v>184</v>
      </c>
      <c r="F8" s="16" t="str">
        <f>'Stavební rozpočet'!F6</f>
        <v> </v>
      </c>
      <c r="G8" s="19"/>
      <c r="H8" s="30" t="s">
        <v>289</v>
      </c>
      <c r="I8" s="123" t="s">
        <v>58</v>
      </c>
      <c r="J8" s="66"/>
    </row>
    <row r="9" spans="1:10" ht="12.75">
      <c r="A9" s="4"/>
      <c r="B9" s="19"/>
      <c r="C9" s="19"/>
      <c r="D9" s="19"/>
      <c r="E9" s="19"/>
      <c r="F9" s="19"/>
      <c r="G9" s="19"/>
      <c r="H9" s="19"/>
      <c r="I9" s="57"/>
      <c r="J9" s="66"/>
    </row>
    <row r="10" spans="1:10" ht="12.75">
      <c r="A10" s="5" t="s">
        <v>4</v>
      </c>
      <c r="B10" s="19"/>
      <c r="C10" s="16">
        <f>'Stavební rozpočet'!C8</f>
        <v>803521</v>
      </c>
      <c r="D10" s="19"/>
      <c r="E10" s="16" t="s">
        <v>202</v>
      </c>
      <c r="F10" s="16" t="str">
        <f>'Stavební rozpočet'!H8</f>
        <v>Ing. Roman Kunert</v>
      </c>
      <c r="G10" s="19"/>
      <c r="H10" s="30" t="s">
        <v>290</v>
      </c>
      <c r="I10" s="127" t="str">
        <f>'Stavební rozpočet'!F8</f>
        <v>14.08.2019</v>
      </c>
      <c r="J10" s="66"/>
    </row>
    <row r="11" spans="1:10" ht="12.75">
      <c r="A11" s="87"/>
      <c r="B11" s="99"/>
      <c r="C11" s="99"/>
      <c r="D11" s="99"/>
      <c r="E11" s="99"/>
      <c r="F11" s="99"/>
      <c r="G11" s="99"/>
      <c r="H11" s="99"/>
      <c r="I11" s="124"/>
      <c r="J11" s="66"/>
    </row>
    <row r="12" spans="1:9" ht="17.25" customHeight="1">
      <c r="A12" s="88" t="s">
        <v>249</v>
      </c>
      <c r="B12" s="100"/>
      <c r="C12" s="100"/>
      <c r="D12" s="100"/>
      <c r="E12" s="100"/>
      <c r="F12" s="100"/>
      <c r="G12" s="100"/>
      <c r="H12" s="100"/>
      <c r="I12" s="100"/>
    </row>
    <row r="13" spans="1:10" ht="26.25" customHeight="1">
      <c r="A13" s="89" t="s">
        <v>250</v>
      </c>
      <c r="B13" s="101" t="s">
        <v>261</v>
      </c>
      <c r="C13" s="109"/>
      <c r="D13" s="89" t="s">
        <v>264</v>
      </c>
      <c r="E13" s="101" t="s">
        <v>273</v>
      </c>
      <c r="F13" s="109"/>
      <c r="G13" s="89" t="s">
        <v>274</v>
      </c>
      <c r="H13" s="101" t="s">
        <v>291</v>
      </c>
      <c r="I13" s="109"/>
      <c r="J13" s="66"/>
    </row>
    <row r="14" spans="1:10" ht="12" customHeight="1">
      <c r="A14" s="90" t="s">
        <v>251</v>
      </c>
      <c r="B14" s="102" t="s">
        <v>262</v>
      </c>
      <c r="C14" s="117">
        <f>SUM('Stavební rozpočet'!AB12:AB70)</f>
        <v>0</v>
      </c>
      <c r="D14" s="114" t="s">
        <v>265</v>
      </c>
      <c r="E14" s="116"/>
      <c r="F14" s="117">
        <v>0</v>
      </c>
      <c r="G14" s="114" t="s">
        <v>275</v>
      </c>
      <c r="H14" s="116"/>
      <c r="I14" s="117">
        <v>0</v>
      </c>
      <c r="J14" s="66"/>
    </row>
    <row r="15" spans="1:10" ht="12" customHeight="1">
      <c r="A15" s="91"/>
      <c r="B15" s="102" t="s">
        <v>211</v>
      </c>
      <c r="C15" s="117">
        <f>SUM('Stavební rozpočet'!AC12:AC70)</f>
        <v>0</v>
      </c>
      <c r="D15" s="114" t="s">
        <v>266</v>
      </c>
      <c r="E15" s="116"/>
      <c r="F15" s="117">
        <v>0</v>
      </c>
      <c r="G15" s="114" t="s">
        <v>276</v>
      </c>
      <c r="H15" s="116"/>
      <c r="I15" s="117">
        <v>0</v>
      </c>
      <c r="J15" s="66"/>
    </row>
    <row r="16" spans="1:10" ht="12" customHeight="1">
      <c r="A16" s="90" t="s">
        <v>252</v>
      </c>
      <c r="B16" s="102" t="s">
        <v>262</v>
      </c>
      <c r="C16" s="117">
        <f>SUM('Stavební rozpočet'!AD12:AD70)</f>
        <v>0</v>
      </c>
      <c r="D16" s="114" t="s">
        <v>267</v>
      </c>
      <c r="E16" s="116"/>
      <c r="F16" s="117">
        <v>0</v>
      </c>
      <c r="G16" s="114" t="s">
        <v>277</v>
      </c>
      <c r="H16" s="116"/>
      <c r="I16" s="117">
        <v>0</v>
      </c>
      <c r="J16" s="66"/>
    </row>
    <row r="17" spans="1:10" ht="12" customHeight="1">
      <c r="A17" s="91"/>
      <c r="B17" s="102" t="s">
        <v>211</v>
      </c>
      <c r="C17" s="117">
        <f>SUM('Stavební rozpočet'!AE12:AE70)</f>
        <v>0</v>
      </c>
      <c r="D17" s="114"/>
      <c r="E17" s="116"/>
      <c r="F17" s="118"/>
      <c r="G17" s="114" t="s">
        <v>278</v>
      </c>
      <c r="H17" s="116"/>
      <c r="I17" s="117">
        <v>0</v>
      </c>
      <c r="J17" s="66"/>
    </row>
    <row r="18" spans="1:10" ht="12" customHeight="1">
      <c r="A18" s="90" t="s">
        <v>253</v>
      </c>
      <c r="B18" s="102" t="s">
        <v>262</v>
      </c>
      <c r="C18" s="117">
        <f>SUM('Stavební rozpočet'!AF12:AF70)</f>
        <v>0</v>
      </c>
      <c r="D18" s="114"/>
      <c r="E18" s="116"/>
      <c r="F18" s="118"/>
      <c r="G18" s="114" t="s">
        <v>279</v>
      </c>
      <c r="H18" s="116"/>
      <c r="I18" s="117">
        <v>0</v>
      </c>
      <c r="J18" s="66"/>
    </row>
    <row r="19" spans="1:10" ht="12" customHeight="1">
      <c r="A19" s="91"/>
      <c r="B19" s="102" t="s">
        <v>211</v>
      </c>
      <c r="C19" s="117">
        <f>SUM('Stavební rozpočet'!AG12:AG70)</f>
        <v>0</v>
      </c>
      <c r="D19" s="114"/>
      <c r="E19" s="116"/>
      <c r="F19" s="118"/>
      <c r="G19" s="114" t="s">
        <v>280</v>
      </c>
      <c r="H19" s="116"/>
      <c r="I19" s="117">
        <v>0</v>
      </c>
      <c r="J19" s="66"/>
    </row>
    <row r="20" spans="1:10" ht="12" customHeight="1">
      <c r="A20" s="92" t="s">
        <v>176</v>
      </c>
      <c r="B20" s="103"/>
      <c r="C20" s="117">
        <f>SUM('Stavební rozpočet'!AH12:AH70)</f>
        <v>0</v>
      </c>
      <c r="D20" s="114"/>
      <c r="E20" s="116"/>
      <c r="F20" s="118"/>
      <c r="G20" s="114"/>
      <c r="H20" s="116"/>
      <c r="I20" s="118"/>
      <c r="J20" s="66"/>
    </row>
    <row r="21" spans="1:10" ht="12" customHeight="1">
      <c r="A21" s="92" t="s">
        <v>254</v>
      </c>
      <c r="B21" s="103"/>
      <c r="C21" s="117">
        <f>SUM('Stavební rozpočet'!Z12:Z70)</f>
        <v>0</v>
      </c>
      <c r="D21" s="114"/>
      <c r="E21" s="116"/>
      <c r="F21" s="118"/>
      <c r="G21" s="114"/>
      <c r="H21" s="116"/>
      <c r="I21" s="118"/>
      <c r="J21" s="66"/>
    </row>
    <row r="22" spans="1:10" ht="16.5" customHeight="1">
      <c r="A22" s="92" t="s">
        <v>255</v>
      </c>
      <c r="B22" s="103"/>
      <c r="C22" s="117">
        <f>SUM(C14:C21)</f>
        <v>0</v>
      </c>
      <c r="D22" s="92" t="s">
        <v>268</v>
      </c>
      <c r="E22" s="103"/>
      <c r="F22" s="117">
        <f>SUM(F14:F21)</f>
        <v>0</v>
      </c>
      <c r="G22" s="92" t="s">
        <v>281</v>
      </c>
      <c r="H22" s="103"/>
      <c r="I22" s="117">
        <f>SUM(I14:I21)</f>
        <v>0</v>
      </c>
      <c r="J22" s="66"/>
    </row>
    <row r="23" spans="1:10" ht="12" customHeight="1">
      <c r="A23" s="14"/>
      <c r="B23" s="14"/>
      <c r="C23" s="110"/>
      <c r="D23" s="92" t="s">
        <v>269</v>
      </c>
      <c r="E23" s="103"/>
      <c r="F23" s="119">
        <v>0</v>
      </c>
      <c r="G23" s="92" t="s">
        <v>282</v>
      </c>
      <c r="H23" s="103"/>
      <c r="I23" s="117">
        <v>0</v>
      </c>
      <c r="J23" s="66"/>
    </row>
    <row r="24" spans="4:9" ht="12" customHeight="1">
      <c r="D24" s="14"/>
      <c r="E24" s="14"/>
      <c r="F24" s="120"/>
      <c r="G24" s="92" t="s">
        <v>283</v>
      </c>
      <c r="H24" s="103"/>
      <c r="I24" s="125"/>
    </row>
    <row r="25" spans="6:10" ht="12" customHeight="1">
      <c r="F25" s="121"/>
      <c r="G25" s="92" t="s">
        <v>284</v>
      </c>
      <c r="H25" s="103"/>
      <c r="I25" s="117">
        <v>0</v>
      </c>
      <c r="J25" s="66"/>
    </row>
    <row r="26" spans="1:9" ht="12.75">
      <c r="A26" s="86"/>
      <c r="B26" s="86"/>
      <c r="C26" s="86"/>
      <c r="G26" s="14"/>
      <c r="H26" s="14"/>
      <c r="I26" s="14"/>
    </row>
    <row r="27" spans="1:9" ht="12" customHeight="1">
      <c r="A27" s="93" t="s">
        <v>256</v>
      </c>
      <c r="B27" s="104"/>
      <c r="C27" s="126">
        <f>SUM('Stavební rozpočet'!AJ12:AJ70)</f>
        <v>0</v>
      </c>
      <c r="D27" s="115"/>
      <c r="E27" s="86"/>
      <c r="F27" s="86"/>
      <c r="G27" s="86"/>
      <c r="H27" s="86"/>
      <c r="I27" s="86"/>
    </row>
    <row r="28" spans="1:10" ht="12" customHeight="1">
      <c r="A28" s="93" t="s">
        <v>257</v>
      </c>
      <c r="B28" s="104"/>
      <c r="C28" s="126">
        <f>SUM('Stavební rozpočet'!AK12:AK70)+(F22+I22+F23+I23+I24+I25)</f>
        <v>0</v>
      </c>
      <c r="D28" s="93" t="s">
        <v>270</v>
      </c>
      <c r="E28" s="104"/>
      <c r="F28" s="126">
        <f>ROUND(C28*(15/100),2)</f>
        <v>0</v>
      </c>
      <c r="G28" s="93" t="s">
        <v>285</v>
      </c>
      <c r="H28" s="104"/>
      <c r="I28" s="126">
        <f>SUM(C27:C29)</f>
        <v>0</v>
      </c>
      <c r="J28" s="66"/>
    </row>
    <row r="29" spans="1:10" ht="12" customHeight="1">
      <c r="A29" s="93" t="s">
        <v>258</v>
      </c>
      <c r="B29" s="104"/>
      <c r="C29" s="126">
        <f>SUM('Stavební rozpočet'!AL12:AL70)</f>
        <v>0</v>
      </c>
      <c r="D29" s="93" t="s">
        <v>271</v>
      </c>
      <c r="E29" s="104"/>
      <c r="F29" s="126">
        <f>ROUND(C29*(21/100),2)</f>
        <v>0</v>
      </c>
      <c r="G29" s="93" t="s">
        <v>286</v>
      </c>
      <c r="H29" s="104"/>
      <c r="I29" s="126">
        <f>SUM(F28:F29)+I28</f>
        <v>0</v>
      </c>
      <c r="J29" s="66"/>
    </row>
    <row r="30" spans="1:9" ht="12.75">
      <c r="A30" s="94"/>
      <c r="B30" s="94"/>
      <c r="C30" s="94"/>
      <c r="D30" s="94"/>
      <c r="E30" s="94"/>
      <c r="F30" s="94"/>
      <c r="G30" s="94"/>
      <c r="H30" s="94"/>
      <c r="I30" s="94"/>
    </row>
    <row r="31" spans="1:10" ht="12" customHeight="1">
      <c r="A31" s="95" t="s">
        <v>259</v>
      </c>
      <c r="B31" s="105"/>
      <c r="C31" s="111"/>
      <c r="D31" s="95" t="s">
        <v>272</v>
      </c>
      <c r="E31" s="105"/>
      <c r="F31" s="111"/>
      <c r="G31" s="95" t="s">
        <v>287</v>
      </c>
      <c r="H31" s="105"/>
      <c r="I31" s="111"/>
      <c r="J31" s="67"/>
    </row>
    <row r="32" spans="1:10" ht="12" customHeight="1">
      <c r="A32" s="96"/>
      <c r="B32" s="106"/>
      <c r="C32" s="112"/>
      <c r="D32" s="96"/>
      <c r="E32" s="106"/>
      <c r="F32" s="112"/>
      <c r="G32" s="96"/>
      <c r="H32" s="106"/>
      <c r="I32" s="112"/>
      <c r="J32" s="67"/>
    </row>
    <row r="33" spans="1:10" ht="12" customHeight="1">
      <c r="A33" s="96"/>
      <c r="B33" s="106"/>
      <c r="C33" s="112"/>
      <c r="D33" s="96"/>
      <c r="E33" s="106"/>
      <c r="F33" s="112"/>
      <c r="G33" s="96"/>
      <c r="H33" s="106"/>
      <c r="I33" s="112"/>
      <c r="J33" s="67"/>
    </row>
    <row r="34" spans="1:10" ht="12" customHeight="1">
      <c r="A34" s="96"/>
      <c r="B34" s="106"/>
      <c r="C34" s="112"/>
      <c r="D34" s="96"/>
      <c r="E34" s="106"/>
      <c r="F34" s="112"/>
      <c r="G34" s="96"/>
      <c r="H34" s="106"/>
      <c r="I34" s="112"/>
      <c r="J34" s="67"/>
    </row>
    <row r="35" spans="1:10" ht="12" customHeight="1">
      <c r="A35" s="97" t="s">
        <v>260</v>
      </c>
      <c r="B35" s="107"/>
      <c r="C35" s="113"/>
      <c r="D35" s="97" t="s">
        <v>260</v>
      </c>
      <c r="E35" s="107"/>
      <c r="F35" s="113"/>
      <c r="G35" s="97" t="s">
        <v>260</v>
      </c>
      <c r="H35" s="107"/>
      <c r="I35" s="113"/>
      <c r="J35" s="67"/>
    </row>
    <row r="36" spans="1:9" ht="8.25" customHeight="1">
      <c r="A36" s="98" t="s">
        <v>59</v>
      </c>
      <c r="B36" s="83"/>
      <c r="C36" s="83"/>
      <c r="D36" s="83"/>
      <c r="E36" s="83"/>
      <c r="F36" s="83"/>
      <c r="G36" s="83"/>
      <c r="H36" s="83"/>
      <c r="I36" s="83"/>
    </row>
    <row r="37" spans="1:9" ht="12.75" customHeight="1">
      <c r="A37" s="16"/>
      <c r="B37" s="19"/>
      <c r="C37" s="19"/>
      <c r="D37" s="19"/>
      <c r="E37" s="19"/>
      <c r="F37" s="19"/>
      <c r="G37" s="19"/>
      <c r="H37" s="19"/>
      <c r="I37" s="19"/>
    </row>
  </sheetData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