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3"/>
  </bookViews>
  <sheets>
    <sheet name="Stavební rozpočet - součet" sheetId="1" r:id="rId1"/>
    <sheet name="Krycí list rozpočtu" sheetId="2" r:id="rId2"/>
    <sheet name="VORN" sheetId="3" state="hidden" r:id="rId3"/>
    <sheet name="Stavební rozpočet" sheetId="4" r:id="rId4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<sst xmlns="http://schemas.openxmlformats.org/spreadsheetml/2006/main" count="429" uniqueCount="166">
  <si>
    <t>Doba výstavby:</t>
  </si>
  <si>
    <t>Projektant</t>
  </si>
  <si>
    <t>91</t>
  </si>
  <si>
    <t>Základ 21%</t>
  </si>
  <si>
    <t>Přesun hmot, pozemní komunikace, kryt živičný</t>
  </si>
  <si>
    <t>NUS celkem z obj.</t>
  </si>
  <si>
    <t>Náklady (Kč) - celkem</t>
  </si>
  <si>
    <t>Název stavby:</t>
  </si>
  <si>
    <t>Ostatní materiál</t>
  </si>
  <si>
    <t>Č</t>
  </si>
  <si>
    <t>Poznámka:</t>
  </si>
  <si>
    <t>Lokalita:</t>
  </si>
  <si>
    <t>PSV</t>
  </si>
  <si>
    <t>Bez pevné podl.</t>
  </si>
  <si>
    <t>150,5*2</t>
  </si>
  <si>
    <t>Celkem</t>
  </si>
  <si>
    <t>Zařízení staveniště</t>
  </si>
  <si>
    <t>11_</t>
  </si>
  <si>
    <t>573231125R00</t>
  </si>
  <si>
    <t>1_</t>
  </si>
  <si>
    <t>4</t>
  </si>
  <si>
    <t>Vyrovnání povrchu krytů kamen. obaleným asfaltem</t>
  </si>
  <si>
    <t>Základní rozpočtové náklady</t>
  </si>
  <si>
    <t>Celkem bez DPH</t>
  </si>
  <si>
    <t>Vedlejší a ostatní rozpočtové náklady</t>
  </si>
  <si>
    <t>6</t>
  </si>
  <si>
    <t>Rozpočtové náklady v Kč</t>
  </si>
  <si>
    <t>5,5*2+25,0+2,0*2</t>
  </si>
  <si>
    <t>B</t>
  </si>
  <si>
    <t>Náklady na umístění stavby (NUS)</t>
  </si>
  <si>
    <t>Montáž</t>
  </si>
  <si>
    <t>Datum, razítko a podpis</t>
  </si>
  <si>
    <t>ZRN celkem</t>
  </si>
  <si>
    <t>Krycí list slepého rozpočtu</t>
  </si>
  <si>
    <t>979999995R00</t>
  </si>
  <si>
    <t>Základna</t>
  </si>
  <si>
    <t>Dodávky</t>
  </si>
  <si>
    <t>Ostatní mat.</t>
  </si>
  <si>
    <t>HSV prac</t>
  </si>
  <si>
    <t>"M"</t>
  </si>
  <si>
    <t>VORN celkem z obj.</t>
  </si>
  <si>
    <t>24055 Bruntál, U Stadionu, odbočka k firmě VYSPRA, oprava komunikace</t>
  </si>
  <si>
    <t>Cena/MJ</t>
  </si>
  <si>
    <t>Konec výstavby:</t>
  </si>
  <si>
    <t>Kód</t>
  </si>
  <si>
    <t>S</t>
  </si>
  <si>
    <t>MJ</t>
  </si>
  <si>
    <t>9_</t>
  </si>
  <si>
    <t>Celkem ORN</t>
  </si>
  <si>
    <t>Doplňující konstrukce a práce na pozemních komunikacích a zpevněných plochách</t>
  </si>
  <si>
    <t>Doplňkové náklady</t>
  </si>
  <si>
    <t>PSV prac</t>
  </si>
  <si>
    <t>HSV</t>
  </si>
  <si>
    <t>Vedlejší rozpočtové náklady VRN</t>
  </si>
  <si>
    <t>9</t>
  </si>
  <si>
    <t>ISWORK</t>
  </si>
  <si>
    <t>57_</t>
  </si>
  <si>
    <t>Celkem včetně DPH</t>
  </si>
  <si>
    <t>Celkem NUS</t>
  </si>
  <si>
    <t>Základ 0%</t>
  </si>
  <si>
    <t>S_</t>
  </si>
  <si>
    <t>979082213R00</t>
  </si>
  <si>
    <t>Přesuny sutí</t>
  </si>
  <si>
    <t>Mont prac</t>
  </si>
  <si>
    <t>59</t>
  </si>
  <si>
    <t>t</t>
  </si>
  <si>
    <t> </t>
  </si>
  <si>
    <t>979082219R00</t>
  </si>
  <si>
    <t>JKSO:</t>
  </si>
  <si>
    <t>577141312R00</t>
  </si>
  <si>
    <t>Kryty pozemních komunikací, letišť a ploch z kameniva nebo živičné</t>
  </si>
  <si>
    <t>DN celkem</t>
  </si>
  <si>
    <t>572713112R00</t>
  </si>
  <si>
    <t>GROUPCODE</t>
  </si>
  <si>
    <t>Provozní vlivy</t>
  </si>
  <si>
    <t>5</t>
  </si>
  <si>
    <t>Druh stavby:</t>
  </si>
  <si>
    <t>Přípravné a přidružené práce</t>
  </si>
  <si>
    <t>Zpracováno dne:</t>
  </si>
  <si>
    <t>10</t>
  </si>
  <si>
    <t>25,0*2,5</t>
  </si>
  <si>
    <t>Množství</t>
  </si>
  <si>
    <t>5_</t>
  </si>
  <si>
    <t>VORN celkem</t>
  </si>
  <si>
    <t>Řezání stávajícího živičného krytu tl. 5 - 10 cm</t>
  </si>
  <si>
    <t>5,5*2</t>
  </si>
  <si>
    <t>Typ skupiny</t>
  </si>
  <si>
    <t>C</t>
  </si>
  <si>
    <t>Náklady (Kč)</t>
  </si>
  <si>
    <t>IČO/DIČ:</t>
  </si>
  <si>
    <t>Ostatní</t>
  </si>
  <si>
    <t>Zpracoval:</t>
  </si>
  <si>
    <t>Zhotovitel</t>
  </si>
  <si>
    <t>Fréz.beton.krytu pl.do 500 m2,pruh do 75 cm,tl.6cm</t>
  </si>
  <si>
    <t>2</t>
  </si>
  <si>
    <t>Projektant:</t>
  </si>
  <si>
    <t/>
  </si>
  <si>
    <t>Poplatek za recyklaci asfaltu, kusovost do 1600 cm2, (skup.170302)</t>
  </si>
  <si>
    <t>Práce přesčas</t>
  </si>
  <si>
    <t>Kulturní památka</t>
  </si>
  <si>
    <t>Objekt</t>
  </si>
  <si>
    <t>DPH 21%</t>
  </si>
  <si>
    <t>919735112R00</t>
  </si>
  <si>
    <t>_</t>
  </si>
  <si>
    <t>Přesuny</t>
  </si>
  <si>
    <t>MAT</t>
  </si>
  <si>
    <t>8</t>
  </si>
  <si>
    <t>Celkem:</t>
  </si>
  <si>
    <t>Mimostav. doprava</t>
  </si>
  <si>
    <t>DN celkem z obj.</t>
  </si>
  <si>
    <t>3,0*5,5</t>
  </si>
  <si>
    <t>m</t>
  </si>
  <si>
    <t>Slepý stavební rozpočet - rekapitulace</t>
  </si>
  <si>
    <t>11</t>
  </si>
  <si>
    <t>Základ 12%</t>
  </si>
  <si>
    <t>Objednatel:</t>
  </si>
  <si>
    <t>PSV mat</t>
  </si>
  <si>
    <t>3</t>
  </si>
  <si>
    <t>Zhotovitel:</t>
  </si>
  <si>
    <t>%</t>
  </si>
  <si>
    <t>Začátek výstavby:</t>
  </si>
  <si>
    <t>A</t>
  </si>
  <si>
    <t>Mont mat</t>
  </si>
  <si>
    <t>Slepý stavební rozpočet</t>
  </si>
  <si>
    <t>Postřik spojovací z KAE, množství zbytkového asfaltu 0,5 kg/m2</t>
  </si>
  <si>
    <t xml:space="preserve"> </t>
  </si>
  <si>
    <t>113153115R00</t>
  </si>
  <si>
    <t>Kryty pozemních komunikací, letišť a ploch dlážděných (předlažby)</t>
  </si>
  <si>
    <t>Příplatek za dopravu suti po suchu za další 1 km</t>
  </si>
  <si>
    <t>Objednatel</t>
  </si>
  <si>
    <t>57</t>
  </si>
  <si>
    <t>(Kč)</t>
  </si>
  <si>
    <t>Územní vlivy</t>
  </si>
  <si>
    <t>DPH 12%</t>
  </si>
  <si>
    <t>T</t>
  </si>
  <si>
    <t>Datum:</t>
  </si>
  <si>
    <t>91_</t>
  </si>
  <si>
    <t>m2</t>
  </si>
  <si>
    <t>59_</t>
  </si>
  <si>
    <t>Vyplnění spár  živičnou zálivkou</t>
  </si>
  <si>
    <t>Přesun hmot a sutí</t>
  </si>
  <si>
    <t>NUS z rozpočtu</t>
  </si>
  <si>
    <t>998225111R00</t>
  </si>
  <si>
    <t>1</t>
  </si>
  <si>
    <t>7</t>
  </si>
  <si>
    <t>Rozměry</t>
  </si>
  <si>
    <t>Položek:</t>
  </si>
  <si>
    <t>NUS celkem</t>
  </si>
  <si>
    <t>WORK</t>
  </si>
  <si>
    <t>2,0*2</t>
  </si>
  <si>
    <t>Ostatní rozpočtové náklady ORN</t>
  </si>
  <si>
    <t>HSV mat</t>
  </si>
  <si>
    <t>Kč</t>
  </si>
  <si>
    <t>Celkem VRN</t>
  </si>
  <si>
    <t>Vodorovná doprava suti po suchu do 1 km</t>
  </si>
  <si>
    <t>08.03.2024</t>
  </si>
  <si>
    <t>Ostatní rozpočtové náklady (ORN)</t>
  </si>
  <si>
    <t>Celkem DN</t>
  </si>
  <si>
    <t>Zkrácený popis</t>
  </si>
  <si>
    <t>19,866*2</t>
  </si>
  <si>
    <t>CELK</t>
  </si>
  <si>
    <t>VATTAX</t>
  </si>
  <si>
    <t>599141111R00</t>
  </si>
  <si>
    <t>Doplňkové náklady DN</t>
  </si>
  <si>
    <t>13,0*5,5</t>
  </si>
  <si>
    <t>Beton asfalt.ACO 11, 5 cm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</si>
</sst>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8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i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b/>
      <sz val="20"/>
      <color rgb="FF00000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i/>
      <sz val="1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>
        <color rgb="FF000000"/>
      </top>
      <bottom/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>
        <color rgb="FF000000"/>
      </left>
      <right>
        <color rgb="FF000000"/>
      </right>
      <top style="medium">
        <color rgb="FF000000"/>
      </top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7">
    <xf numFmtId="0" fontId="1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12" xfId="0" applyNumberFormat="1" applyFont="1" applyFill="1" applyBorder="1" applyAlignment="1" applyProtection="1">
      <alignment horizontal="righ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9" fillId="33" borderId="16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center" vertical="center"/>
      <protection/>
    </xf>
    <xf numFmtId="0" fontId="47" fillId="0" borderId="20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4" fontId="46" fillId="0" borderId="15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4" fontId="48" fillId="0" borderId="14" xfId="0" applyNumberFormat="1" applyFont="1" applyFill="1" applyBorder="1" applyAlignment="1" applyProtection="1">
      <alignment horizontal="right" vertical="center"/>
      <protection/>
    </xf>
    <xf numFmtId="4" fontId="51" fillId="33" borderId="12" xfId="0" applyNumberFormat="1" applyFont="1" applyFill="1" applyBorder="1" applyAlignment="1" applyProtection="1">
      <alignment horizontal="right" vertical="center"/>
      <protection/>
    </xf>
    <xf numFmtId="4" fontId="47" fillId="0" borderId="17" xfId="0" applyNumberFormat="1" applyFont="1" applyFill="1" applyBorder="1" applyAlignment="1" applyProtection="1">
      <alignment horizontal="right" vertical="center"/>
      <protection/>
    </xf>
    <xf numFmtId="0" fontId="46" fillId="33" borderId="10" xfId="0" applyNumberFormat="1" applyFont="1" applyFill="1" applyBorder="1" applyAlignment="1" applyProtection="1">
      <alignment horizontal="left" vertical="center"/>
      <protection/>
    </xf>
    <xf numFmtId="0" fontId="51" fillId="0" borderId="23" xfId="0" applyNumberFormat="1" applyFont="1" applyFill="1" applyBorder="1" applyAlignment="1" applyProtection="1">
      <alignment horizontal="lef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7" fillId="0" borderId="25" xfId="0" applyNumberFormat="1" applyFont="1" applyFill="1" applyBorder="1" applyAlignment="1" applyProtection="1">
      <alignment horizontal="righ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4" fontId="52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4" fontId="48" fillId="0" borderId="12" xfId="0" applyNumberFormat="1" applyFont="1" applyFill="1" applyBorder="1" applyAlignment="1" applyProtection="1">
      <alignment horizontal="right" vertical="center"/>
      <protection/>
    </xf>
    <xf numFmtId="0" fontId="47" fillId="0" borderId="27" xfId="0" applyNumberFormat="1" applyFont="1" applyFill="1" applyBorder="1" applyAlignment="1" applyProtection="1">
      <alignment horizontal="center" vertical="center"/>
      <protection/>
    </xf>
    <xf numFmtId="0" fontId="46" fillId="33" borderId="10" xfId="0" applyNumberFormat="1" applyFont="1" applyFill="1" applyBorder="1" applyAlignment="1" applyProtection="1">
      <alignment horizontal="left" vertical="center"/>
      <protection/>
    </xf>
    <xf numFmtId="4" fontId="48" fillId="0" borderId="11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4" fontId="46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9" fillId="33" borderId="2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47" fillId="0" borderId="24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7" fillId="0" borderId="17" xfId="0" applyNumberFormat="1" applyFont="1" applyFill="1" applyBorder="1" applyAlignment="1" applyProtection="1">
      <alignment horizontal="right" vertical="center"/>
      <protection/>
    </xf>
    <xf numFmtId="0" fontId="51" fillId="0" borderId="30" xfId="0" applyNumberFormat="1" applyFont="1" applyFill="1" applyBorder="1" applyAlignment="1" applyProtection="1">
      <alignment horizontal="left" vertical="center"/>
      <protection/>
    </xf>
    <xf numFmtId="4" fontId="48" fillId="0" borderId="29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4" fontId="51" fillId="33" borderId="29" xfId="0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4" fontId="46" fillId="0" borderId="12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32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 wrapText="1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7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1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34" xfId="0" applyNumberFormat="1" applyFont="1" applyFill="1" applyBorder="1" applyAlignment="1" applyProtection="1">
      <alignment horizontal="left" vertical="center"/>
      <protection/>
    </xf>
    <xf numFmtId="0" fontId="55" fillId="0" borderId="29" xfId="0" applyNumberFormat="1" applyFont="1" applyFill="1" applyBorder="1" applyAlignment="1" applyProtection="1">
      <alignment horizontal="left" vertical="center"/>
      <protection/>
    </xf>
    <xf numFmtId="0" fontId="51" fillId="0" borderId="21" xfId="0" applyNumberFormat="1" applyFont="1" applyFill="1" applyBorder="1" applyAlignment="1" applyProtection="1">
      <alignment horizontal="left" vertical="center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0" fontId="51" fillId="0" borderId="14" xfId="0" applyNumberFormat="1" applyFont="1" applyFill="1" applyBorder="1" applyAlignment="1" applyProtection="1">
      <alignment horizontal="left" vertical="center"/>
      <protection/>
    </xf>
    <xf numFmtId="0" fontId="51" fillId="0" borderId="35" xfId="0" applyNumberFormat="1" applyFont="1" applyFill="1" applyBorder="1" applyAlignment="1" applyProtection="1">
      <alignment horizontal="left" vertical="center"/>
      <protection/>
    </xf>
    <xf numFmtId="0" fontId="51" fillId="0" borderId="29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51" fillId="0" borderId="34" xfId="0" applyNumberFormat="1" applyFont="1" applyFill="1" applyBorder="1" applyAlignment="1" applyProtection="1">
      <alignment horizontal="left" vertical="center"/>
      <protection/>
    </xf>
    <xf numFmtId="0" fontId="51" fillId="0" borderId="15" xfId="0" applyNumberFormat="1" applyFont="1" applyFill="1" applyBorder="1" applyAlignment="1" applyProtection="1">
      <alignment horizontal="left" vertical="center"/>
      <protection/>
    </xf>
    <xf numFmtId="0" fontId="51" fillId="33" borderId="35" xfId="0" applyNumberFormat="1" applyFont="1" applyFill="1" applyBorder="1" applyAlignment="1" applyProtection="1">
      <alignment horizontal="left" vertical="center"/>
      <protection/>
    </xf>
    <xf numFmtId="0" fontId="51" fillId="33" borderId="34" xfId="0" applyNumberFormat="1" applyFont="1" applyFill="1" applyBorder="1" applyAlignment="1" applyProtection="1">
      <alignment horizontal="left" vertical="center"/>
      <protection/>
    </xf>
    <xf numFmtId="0" fontId="51" fillId="33" borderId="21" xfId="0" applyNumberFormat="1" applyFont="1" applyFill="1" applyBorder="1" applyAlignment="1" applyProtection="1">
      <alignment horizontal="left" vertical="center"/>
      <protection/>
    </xf>
    <xf numFmtId="0" fontId="51" fillId="33" borderId="15" xfId="0" applyNumberFormat="1" applyFont="1" applyFill="1" applyBorder="1" applyAlignment="1" applyProtection="1">
      <alignment horizontal="left" vertical="center"/>
      <protection/>
    </xf>
    <xf numFmtId="0" fontId="48" fillId="0" borderId="36" xfId="0" applyNumberFormat="1" applyFont="1" applyFill="1" applyBorder="1" applyAlignment="1" applyProtection="1">
      <alignment horizontal="left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0" fontId="48" fillId="0" borderId="37" xfId="0" applyNumberFormat="1" applyFont="1" applyFill="1" applyBorder="1" applyAlignment="1" applyProtection="1">
      <alignment horizontal="left" vertical="center"/>
      <protection/>
    </xf>
    <xf numFmtId="0" fontId="48" fillId="0" borderId="38" xfId="0" applyNumberFormat="1" applyFont="1" applyFill="1" applyBorder="1" applyAlignment="1" applyProtection="1">
      <alignment horizontal="left" vertical="center"/>
      <protection/>
    </xf>
    <xf numFmtId="0" fontId="48" fillId="0" borderId="39" xfId="0" applyNumberFormat="1" applyFont="1" applyFill="1" applyBorder="1" applyAlignment="1" applyProtection="1">
      <alignment horizontal="left" vertical="center"/>
      <protection/>
    </xf>
    <xf numFmtId="0" fontId="48" fillId="0" borderId="40" xfId="0" applyNumberFormat="1" applyFont="1" applyFill="1" applyBorder="1" applyAlignment="1" applyProtection="1">
      <alignment horizontal="left" vertical="center"/>
      <protection/>
    </xf>
    <xf numFmtId="0" fontId="48" fillId="0" borderId="41" xfId="0" applyNumberFormat="1" applyFont="1" applyFill="1" applyBorder="1" applyAlignment="1" applyProtection="1">
      <alignment horizontal="left" vertical="center"/>
      <protection/>
    </xf>
    <xf numFmtId="0" fontId="48" fillId="0" borderId="22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42" xfId="0" applyNumberFormat="1" applyFont="1" applyFill="1" applyBorder="1" applyAlignment="1" applyProtection="1">
      <alignment horizontal="left" vertical="center"/>
      <protection/>
    </xf>
    <xf numFmtId="0" fontId="47" fillId="0" borderId="43" xfId="0" applyNumberFormat="1" applyFont="1" applyFill="1" applyBorder="1" applyAlignment="1" applyProtection="1">
      <alignment horizontal="left" vertical="center"/>
      <protection/>
    </xf>
    <xf numFmtId="0" fontId="47" fillId="0" borderId="25" xfId="0" applyNumberFormat="1" applyFont="1" applyFill="1" applyBorder="1" applyAlignment="1" applyProtection="1">
      <alignment horizontal="left" vertical="center"/>
      <protection/>
    </xf>
    <xf numFmtId="0" fontId="47" fillId="0" borderId="26" xfId="0" applyNumberFormat="1" applyFont="1" applyFill="1" applyBorder="1" applyAlignment="1" applyProtection="1">
      <alignment horizontal="left" vertical="center"/>
      <protection/>
    </xf>
    <xf numFmtId="0" fontId="47" fillId="0" borderId="44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51" fillId="0" borderId="26" xfId="0" applyNumberFormat="1" applyFont="1" applyFill="1" applyBorder="1" applyAlignment="1" applyProtection="1">
      <alignment horizontal="left" vertical="center"/>
      <protection/>
    </xf>
    <xf numFmtId="0" fontId="51" fillId="0" borderId="44" xfId="0" applyNumberFormat="1" applyFont="1" applyFill="1" applyBorder="1" applyAlignment="1" applyProtection="1">
      <alignment horizontal="left" vertical="center"/>
      <protection/>
    </xf>
    <xf numFmtId="0" fontId="51" fillId="0" borderId="17" xfId="0" applyNumberFormat="1" applyFont="1" applyFill="1" applyBorder="1" applyAlignment="1" applyProtection="1">
      <alignment horizontal="left" vertical="center"/>
      <protection/>
    </xf>
    <xf numFmtId="4" fontId="51" fillId="0" borderId="44" xfId="0" applyNumberFormat="1" applyFont="1" applyFill="1" applyBorder="1" applyAlignment="1" applyProtection="1">
      <alignment horizontal="right" vertical="center"/>
      <protection/>
    </xf>
    <xf numFmtId="0" fontId="51" fillId="0" borderId="44" xfId="0" applyNumberFormat="1" applyFont="1" applyFill="1" applyBorder="1" applyAlignment="1" applyProtection="1">
      <alignment horizontal="right" vertical="center"/>
      <protection/>
    </xf>
    <xf numFmtId="0" fontId="51" fillId="0" borderId="17" xfId="0" applyNumberFormat="1" applyFont="1" applyFill="1" applyBorder="1" applyAlignment="1" applyProtection="1">
      <alignment horizontal="righ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7" fillId="0" borderId="41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left" vertical="center" wrapText="1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OutlineSymbols="0" zoomScalePageLayoutView="0" workbookViewId="0" topLeftCell="A1">
      <pane ySplit="11" topLeftCell="A12" activePane="bottomLeft" state="frozen"/>
      <selection pane="topLeft" activeCell="C15" sqref="C15:F15"/>
      <selection pane="bottomLeft" activeCell="A1" sqref="A1:G1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6" width="14.16015625" style="0" customWidth="1"/>
    <col min="7" max="7" width="32.5" style="0" customWidth="1"/>
    <col min="8" max="9" width="0" style="0" hidden="1" customWidth="1"/>
  </cols>
  <sheetData>
    <row r="1" spans="1:7" ht="54.75" customHeight="1">
      <c r="A1" s="60" t="s">
        <v>112</v>
      </c>
      <c r="B1" s="60"/>
      <c r="C1" s="60"/>
      <c r="D1" s="60"/>
      <c r="E1" s="60"/>
      <c r="F1" s="60"/>
      <c r="G1" s="60"/>
    </row>
    <row r="2" spans="1:7" ht="15" customHeight="1">
      <c r="A2" s="61" t="s">
        <v>7</v>
      </c>
      <c r="B2" s="62"/>
      <c r="C2" s="69" t="str">
        <f>'Stavební rozpočet'!D2</f>
        <v>24055 Bruntál, U Stadionu, odbočka k firmě VYSPRA, oprava komunikace</v>
      </c>
      <c r="D2" s="62" t="s">
        <v>0</v>
      </c>
      <c r="E2" s="62" t="s">
        <v>125</v>
      </c>
      <c r="F2" s="67" t="s">
        <v>115</v>
      </c>
      <c r="G2" s="71" t="str">
        <f>'Stavební rozpočet'!J2</f>
        <v> </v>
      </c>
    </row>
    <row r="3" spans="1:7" ht="15" customHeight="1">
      <c r="A3" s="63"/>
      <c r="B3" s="64"/>
      <c r="C3" s="70"/>
      <c r="D3" s="64"/>
      <c r="E3" s="64"/>
      <c r="F3" s="64"/>
      <c r="G3" s="72"/>
    </row>
    <row r="4" spans="1:7" ht="15" customHeight="1">
      <c r="A4" s="65" t="s">
        <v>76</v>
      </c>
      <c r="B4" s="64"/>
      <c r="C4" s="68" t="str">
        <f>'Stavební rozpočet'!D4</f>
        <v> </v>
      </c>
      <c r="D4" s="64" t="s">
        <v>120</v>
      </c>
      <c r="E4" s="64" t="s">
        <v>155</v>
      </c>
      <c r="F4" s="68" t="s">
        <v>95</v>
      </c>
      <c r="G4" s="73" t="str">
        <f>'Stavební rozpočet'!J4</f>
        <v> </v>
      </c>
    </row>
    <row r="5" spans="1:7" ht="15" customHeight="1">
      <c r="A5" s="63"/>
      <c r="B5" s="64"/>
      <c r="C5" s="64"/>
      <c r="D5" s="64"/>
      <c r="E5" s="64"/>
      <c r="F5" s="64"/>
      <c r="G5" s="72"/>
    </row>
    <row r="6" spans="1:7" ht="15" customHeight="1">
      <c r="A6" s="65" t="s">
        <v>11</v>
      </c>
      <c r="B6" s="64"/>
      <c r="C6" s="68" t="str">
        <f>'Stavební rozpočet'!D6</f>
        <v> </v>
      </c>
      <c r="D6" s="64" t="s">
        <v>43</v>
      </c>
      <c r="E6" s="64" t="s">
        <v>125</v>
      </c>
      <c r="F6" s="68" t="s">
        <v>118</v>
      </c>
      <c r="G6" s="73" t="str">
        <f>'Stavební rozpočet'!J6</f>
        <v> </v>
      </c>
    </row>
    <row r="7" spans="1:7" ht="15" customHeight="1">
      <c r="A7" s="63"/>
      <c r="B7" s="64"/>
      <c r="C7" s="64"/>
      <c r="D7" s="64"/>
      <c r="E7" s="64"/>
      <c r="F7" s="64"/>
      <c r="G7" s="72"/>
    </row>
    <row r="8" spans="1:7" ht="15" customHeight="1">
      <c r="A8" s="65" t="s">
        <v>91</v>
      </c>
      <c r="B8" s="64"/>
      <c r="C8" s="68" t="str">
        <f>'Stavební rozpočet'!J8</f>
        <v> </v>
      </c>
      <c r="D8" s="64" t="s">
        <v>78</v>
      </c>
      <c r="E8" s="64" t="s">
        <v>155</v>
      </c>
      <c r="F8" s="64" t="s">
        <v>78</v>
      </c>
      <c r="G8" s="73" t="str">
        <f>'Stavební rozpočet'!H8</f>
        <v>08.03.2024</v>
      </c>
    </row>
    <row r="9" spans="1:7" ht="15" customHeight="1">
      <c r="A9" s="63"/>
      <c r="B9" s="64"/>
      <c r="C9" s="64"/>
      <c r="D9" s="66"/>
      <c r="E9" s="66"/>
      <c r="F9" s="66"/>
      <c r="G9" s="72"/>
    </row>
    <row r="10" spans="1:7" ht="15" customHeight="1">
      <c r="A10" s="35" t="s">
        <v>100</v>
      </c>
      <c r="B10" s="7" t="s">
        <v>44</v>
      </c>
      <c r="C10" s="30" t="s">
        <v>158</v>
      </c>
      <c r="G10" s="38" t="s">
        <v>6</v>
      </c>
    </row>
    <row r="11" spans="1:9" ht="15" customHeight="1">
      <c r="A11" s="1" t="s">
        <v>96</v>
      </c>
      <c r="B11" s="6" t="s">
        <v>113</v>
      </c>
      <c r="C11" s="64" t="s">
        <v>77</v>
      </c>
      <c r="D11" s="64"/>
      <c r="E11" s="64"/>
      <c r="F11" s="64"/>
      <c r="G11" s="24">
        <f>'Stavební rozpočet'!I12</f>
        <v>0</v>
      </c>
      <c r="H11" s="48" t="s">
        <v>134</v>
      </c>
      <c r="I11" s="24">
        <f>IF(H11="F",0,G11)</f>
        <v>0</v>
      </c>
    </row>
    <row r="12" spans="1:9" ht="15" customHeight="1">
      <c r="A12" s="1" t="s">
        <v>96</v>
      </c>
      <c r="B12" s="6" t="s">
        <v>130</v>
      </c>
      <c r="C12" s="64" t="s">
        <v>70</v>
      </c>
      <c r="D12" s="64"/>
      <c r="E12" s="64"/>
      <c r="F12" s="64"/>
      <c r="G12" s="24">
        <f>'Stavební rozpočet'!I17</f>
        <v>0</v>
      </c>
      <c r="H12" s="48" t="s">
        <v>134</v>
      </c>
      <c r="I12" s="24">
        <f>IF(H12="F",0,G12)</f>
        <v>0</v>
      </c>
    </row>
    <row r="13" spans="1:9" ht="15" customHeight="1">
      <c r="A13" s="1" t="s">
        <v>96</v>
      </c>
      <c r="B13" s="6" t="s">
        <v>64</v>
      </c>
      <c r="C13" s="64" t="s">
        <v>127</v>
      </c>
      <c r="D13" s="64"/>
      <c r="E13" s="64"/>
      <c r="F13" s="64"/>
      <c r="G13" s="24">
        <f>'Stavební rozpočet'!I22</f>
        <v>0</v>
      </c>
      <c r="H13" s="48" t="s">
        <v>134</v>
      </c>
      <c r="I13" s="24">
        <f>IF(H13="F",0,G13)</f>
        <v>0</v>
      </c>
    </row>
    <row r="14" spans="1:9" ht="15" customHeight="1">
      <c r="A14" s="1" t="s">
        <v>96</v>
      </c>
      <c r="B14" s="6" t="s">
        <v>2</v>
      </c>
      <c r="C14" s="64" t="s">
        <v>49</v>
      </c>
      <c r="D14" s="64"/>
      <c r="E14" s="64"/>
      <c r="F14" s="64"/>
      <c r="G14" s="24">
        <f>'Stavební rozpočet'!I25</f>
        <v>0</v>
      </c>
      <c r="H14" s="48" t="s">
        <v>134</v>
      </c>
      <c r="I14" s="24">
        <f>IF(H14="F",0,G14)</f>
        <v>0</v>
      </c>
    </row>
    <row r="15" spans="1:9" ht="15" customHeight="1">
      <c r="A15" s="1" t="s">
        <v>96</v>
      </c>
      <c r="B15" s="6" t="s">
        <v>45</v>
      </c>
      <c r="C15" s="64" t="s">
        <v>62</v>
      </c>
      <c r="D15" s="64"/>
      <c r="E15" s="64"/>
      <c r="F15" s="64"/>
      <c r="G15" s="24">
        <f>'Stavební rozpočet'!I30</f>
        <v>0</v>
      </c>
      <c r="H15" s="48" t="s">
        <v>134</v>
      </c>
      <c r="I15" s="24">
        <f>IF(H15="F",0,G15)</f>
        <v>0</v>
      </c>
    </row>
    <row r="16" spans="6:7" ht="15" customHeight="1">
      <c r="F16" s="57" t="s">
        <v>107</v>
      </c>
      <c r="G16" s="22">
        <f>SUM(I11:I15)</f>
        <v>0</v>
      </c>
    </row>
  </sheetData>
  <sheetProtection/>
  <mergeCells count="30">
    <mergeCell ref="C12:F12"/>
    <mergeCell ref="C13:F13"/>
    <mergeCell ref="C14:F14"/>
    <mergeCell ref="C15:F15"/>
    <mergeCell ref="E8:E9"/>
    <mergeCell ref="G2:G3"/>
    <mergeCell ref="G4:G5"/>
    <mergeCell ref="G6:G7"/>
    <mergeCell ref="G8:G9"/>
    <mergeCell ref="C11:F11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3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4" t="s">
        <v>33</v>
      </c>
      <c r="B1" s="60"/>
      <c r="C1" s="60"/>
      <c r="D1" s="60"/>
      <c r="E1" s="60"/>
      <c r="F1" s="60"/>
      <c r="G1" s="60"/>
      <c r="H1" s="60"/>
      <c r="I1" s="60"/>
    </row>
    <row r="2" spans="1:9" ht="15" customHeight="1">
      <c r="A2" s="61" t="s">
        <v>7</v>
      </c>
      <c r="B2" s="62"/>
      <c r="C2" s="69" t="str">
        <f>'Stavební rozpočet'!D2</f>
        <v>24055 Bruntál, U Stadionu, odbočka k firmě VYSPRA, oprava komunikace</v>
      </c>
      <c r="D2" s="76"/>
      <c r="E2" s="67" t="s">
        <v>115</v>
      </c>
      <c r="F2" s="67" t="str">
        <f>'Stavební rozpočet'!J2</f>
        <v> </v>
      </c>
      <c r="G2" s="62"/>
      <c r="H2" s="67" t="s">
        <v>89</v>
      </c>
      <c r="I2" s="77" t="s">
        <v>96</v>
      </c>
    </row>
    <row r="3" spans="1:9" ht="15" customHeight="1">
      <c r="A3" s="63"/>
      <c r="B3" s="64"/>
      <c r="C3" s="70"/>
      <c r="D3" s="70"/>
      <c r="E3" s="64"/>
      <c r="F3" s="64"/>
      <c r="G3" s="64"/>
      <c r="H3" s="64"/>
      <c r="I3" s="72"/>
    </row>
    <row r="4" spans="1:9" ht="15" customHeight="1">
      <c r="A4" s="65" t="s">
        <v>76</v>
      </c>
      <c r="B4" s="64"/>
      <c r="C4" s="68" t="str">
        <f>'Stavební rozpočet'!D4</f>
        <v> </v>
      </c>
      <c r="D4" s="64"/>
      <c r="E4" s="68" t="s">
        <v>95</v>
      </c>
      <c r="F4" s="68" t="str">
        <f>'Stavební rozpočet'!J4</f>
        <v> </v>
      </c>
      <c r="G4" s="64"/>
      <c r="H4" s="68" t="s">
        <v>89</v>
      </c>
      <c r="I4" s="72" t="s">
        <v>96</v>
      </c>
    </row>
    <row r="5" spans="1:9" ht="15" customHeight="1">
      <c r="A5" s="63"/>
      <c r="B5" s="64"/>
      <c r="C5" s="64"/>
      <c r="D5" s="64"/>
      <c r="E5" s="64"/>
      <c r="F5" s="64"/>
      <c r="G5" s="64"/>
      <c r="H5" s="64"/>
      <c r="I5" s="72"/>
    </row>
    <row r="6" spans="1:9" ht="15" customHeight="1">
      <c r="A6" s="65" t="s">
        <v>11</v>
      </c>
      <c r="B6" s="64"/>
      <c r="C6" s="68" t="str">
        <f>'Stavební rozpočet'!D6</f>
        <v> </v>
      </c>
      <c r="D6" s="64"/>
      <c r="E6" s="68" t="s">
        <v>118</v>
      </c>
      <c r="F6" s="68" t="str">
        <f>'Stavební rozpočet'!J6</f>
        <v> </v>
      </c>
      <c r="G6" s="64"/>
      <c r="H6" s="68" t="s">
        <v>89</v>
      </c>
      <c r="I6" s="72" t="s">
        <v>96</v>
      </c>
    </row>
    <row r="7" spans="1:9" ht="15" customHeight="1">
      <c r="A7" s="63"/>
      <c r="B7" s="64"/>
      <c r="C7" s="64"/>
      <c r="D7" s="64"/>
      <c r="E7" s="64"/>
      <c r="F7" s="64"/>
      <c r="G7" s="64"/>
      <c r="H7" s="64"/>
      <c r="I7" s="72"/>
    </row>
    <row r="8" spans="1:9" ht="15" customHeight="1">
      <c r="A8" s="65" t="s">
        <v>120</v>
      </c>
      <c r="B8" s="64"/>
      <c r="C8" s="68" t="str">
        <f>'Stavební rozpočet'!H4</f>
        <v>08.03.2024</v>
      </c>
      <c r="D8" s="64"/>
      <c r="E8" s="68" t="s">
        <v>43</v>
      </c>
      <c r="F8" s="68" t="str">
        <f>'Stavební rozpočet'!H6</f>
        <v> </v>
      </c>
      <c r="G8" s="64"/>
      <c r="H8" s="64" t="s">
        <v>146</v>
      </c>
      <c r="I8" s="78">
        <v>10</v>
      </c>
    </row>
    <row r="9" spans="1:9" ht="15" customHeight="1">
      <c r="A9" s="63"/>
      <c r="B9" s="64"/>
      <c r="C9" s="64"/>
      <c r="D9" s="64"/>
      <c r="E9" s="64"/>
      <c r="F9" s="64"/>
      <c r="G9" s="64"/>
      <c r="H9" s="64"/>
      <c r="I9" s="72"/>
    </row>
    <row r="10" spans="1:9" ht="15" customHeight="1">
      <c r="A10" s="65" t="s">
        <v>68</v>
      </c>
      <c r="B10" s="64"/>
      <c r="C10" s="68" t="str">
        <f>'Stavební rozpočet'!D8</f>
        <v> </v>
      </c>
      <c r="D10" s="64"/>
      <c r="E10" s="68" t="s">
        <v>91</v>
      </c>
      <c r="F10" s="68" t="str">
        <f>'Stavební rozpočet'!J8</f>
        <v> </v>
      </c>
      <c r="G10" s="64"/>
      <c r="H10" s="64" t="s">
        <v>135</v>
      </c>
      <c r="I10" s="73" t="str">
        <f>'Stavební rozpočet'!H8</f>
        <v>08.03.2024</v>
      </c>
    </row>
    <row r="11" spans="1:9" ht="15" customHeight="1">
      <c r="A11" s="75"/>
      <c r="B11" s="66"/>
      <c r="C11" s="66"/>
      <c r="D11" s="66"/>
      <c r="E11" s="66"/>
      <c r="F11" s="66"/>
      <c r="G11" s="66"/>
      <c r="H11" s="66"/>
      <c r="I11" s="79"/>
    </row>
    <row r="12" spans="1:9" ht="22.5" customHeight="1">
      <c r="A12" s="80" t="s">
        <v>26</v>
      </c>
      <c r="B12" s="80"/>
      <c r="C12" s="80"/>
      <c r="D12" s="80"/>
      <c r="E12" s="80"/>
      <c r="F12" s="80"/>
      <c r="G12" s="80"/>
      <c r="H12" s="80"/>
      <c r="I12" s="80"/>
    </row>
    <row r="13" spans="1:9" ht="26.25" customHeight="1">
      <c r="A13" s="10" t="s">
        <v>121</v>
      </c>
      <c r="B13" s="81" t="s">
        <v>22</v>
      </c>
      <c r="C13" s="82"/>
      <c r="D13" s="44" t="s">
        <v>28</v>
      </c>
      <c r="E13" s="81" t="s">
        <v>50</v>
      </c>
      <c r="F13" s="82"/>
      <c r="G13" s="44" t="s">
        <v>87</v>
      </c>
      <c r="H13" s="81" t="s">
        <v>29</v>
      </c>
      <c r="I13" s="82"/>
    </row>
    <row r="14" spans="1:9" ht="15" customHeight="1">
      <c r="A14" s="52" t="s">
        <v>52</v>
      </c>
      <c r="B14" s="16" t="s">
        <v>36</v>
      </c>
      <c r="C14" s="37">
        <f>SUM('Stavební rozpočet'!AB12:AB34)</f>
        <v>0</v>
      </c>
      <c r="D14" s="89" t="s">
        <v>98</v>
      </c>
      <c r="E14" s="90"/>
      <c r="F14" s="37">
        <f>VORN!I15</f>
        <v>0</v>
      </c>
      <c r="G14" s="89" t="s">
        <v>16</v>
      </c>
      <c r="H14" s="90"/>
      <c r="I14" s="3">
        <f>VORN!I21</f>
        <v>0</v>
      </c>
    </row>
    <row r="15" spans="1:9" ht="15" customHeight="1">
      <c r="A15" s="29" t="s">
        <v>96</v>
      </c>
      <c r="B15" s="16" t="s">
        <v>30</v>
      </c>
      <c r="C15" s="37">
        <f>SUM('Stavební rozpočet'!AC12:AC34)</f>
        <v>0</v>
      </c>
      <c r="D15" s="89" t="s">
        <v>13</v>
      </c>
      <c r="E15" s="90"/>
      <c r="F15" s="37">
        <f>VORN!I16</f>
        <v>0</v>
      </c>
      <c r="G15" s="89" t="s">
        <v>108</v>
      </c>
      <c r="H15" s="90"/>
      <c r="I15" s="3">
        <f>VORN!I22</f>
        <v>0</v>
      </c>
    </row>
    <row r="16" spans="1:9" ht="15" customHeight="1">
      <c r="A16" s="52" t="s">
        <v>12</v>
      </c>
      <c r="B16" s="16" t="s">
        <v>36</v>
      </c>
      <c r="C16" s="37">
        <f>SUM('Stavební rozpočet'!AD12:AD34)</f>
        <v>0</v>
      </c>
      <c r="D16" s="89" t="s">
        <v>99</v>
      </c>
      <c r="E16" s="90"/>
      <c r="F16" s="37">
        <f>VORN!I17</f>
        <v>0</v>
      </c>
      <c r="G16" s="89" t="s">
        <v>132</v>
      </c>
      <c r="H16" s="90"/>
      <c r="I16" s="3">
        <f>VORN!I23</f>
        <v>0</v>
      </c>
    </row>
    <row r="17" spans="1:9" ht="15" customHeight="1">
      <c r="A17" s="29" t="s">
        <v>96</v>
      </c>
      <c r="B17" s="16" t="s">
        <v>30</v>
      </c>
      <c r="C17" s="37">
        <f>SUM('Stavební rozpočet'!AE12:AE34)</f>
        <v>0</v>
      </c>
      <c r="D17" s="89" t="s">
        <v>96</v>
      </c>
      <c r="E17" s="90"/>
      <c r="F17" s="3" t="s">
        <v>96</v>
      </c>
      <c r="G17" s="89" t="s">
        <v>74</v>
      </c>
      <c r="H17" s="90"/>
      <c r="I17" s="3">
        <f>VORN!I24</f>
        <v>0</v>
      </c>
    </row>
    <row r="18" spans="1:9" ht="15" customHeight="1">
      <c r="A18" s="52" t="s">
        <v>39</v>
      </c>
      <c r="B18" s="16" t="s">
        <v>36</v>
      </c>
      <c r="C18" s="37">
        <f>SUM('Stavební rozpočet'!AF12:AF34)</f>
        <v>0</v>
      </c>
      <c r="D18" s="89" t="s">
        <v>96</v>
      </c>
      <c r="E18" s="90"/>
      <c r="F18" s="3" t="s">
        <v>96</v>
      </c>
      <c r="G18" s="89" t="s">
        <v>90</v>
      </c>
      <c r="H18" s="90"/>
      <c r="I18" s="3">
        <f>VORN!I25</f>
        <v>0</v>
      </c>
    </row>
    <row r="19" spans="1:9" ht="15" customHeight="1">
      <c r="A19" s="29" t="s">
        <v>96</v>
      </c>
      <c r="B19" s="16" t="s">
        <v>30</v>
      </c>
      <c r="C19" s="37">
        <f>SUM('Stavební rozpočet'!AG12:AG34)</f>
        <v>0</v>
      </c>
      <c r="D19" s="89" t="s">
        <v>96</v>
      </c>
      <c r="E19" s="90"/>
      <c r="F19" s="3" t="s">
        <v>96</v>
      </c>
      <c r="G19" s="89" t="s">
        <v>141</v>
      </c>
      <c r="H19" s="90"/>
      <c r="I19" s="3">
        <f>VORN!I26</f>
        <v>0</v>
      </c>
    </row>
    <row r="20" spans="1:9" ht="15" customHeight="1">
      <c r="A20" s="83" t="s">
        <v>8</v>
      </c>
      <c r="B20" s="84"/>
      <c r="C20" s="37">
        <f>SUM('Stavební rozpočet'!AH12:AH34)</f>
        <v>0</v>
      </c>
      <c r="D20" s="89" t="s">
        <v>96</v>
      </c>
      <c r="E20" s="90"/>
      <c r="F20" s="3" t="s">
        <v>96</v>
      </c>
      <c r="G20" s="89" t="s">
        <v>96</v>
      </c>
      <c r="H20" s="90"/>
      <c r="I20" s="3" t="s">
        <v>96</v>
      </c>
    </row>
    <row r="21" spans="1:9" ht="15" customHeight="1">
      <c r="A21" s="85" t="s">
        <v>140</v>
      </c>
      <c r="B21" s="86"/>
      <c r="C21" s="25">
        <f>SUM('Stavební rozpočet'!Z12:Z34)</f>
        <v>0</v>
      </c>
      <c r="D21" s="91" t="s">
        <v>96</v>
      </c>
      <c r="E21" s="92"/>
      <c r="F21" s="8" t="s">
        <v>96</v>
      </c>
      <c r="G21" s="91" t="s">
        <v>96</v>
      </c>
      <c r="H21" s="92"/>
      <c r="I21" s="8" t="s">
        <v>96</v>
      </c>
    </row>
    <row r="22" spans="1:9" ht="16.5" customHeight="1">
      <c r="A22" s="87" t="s">
        <v>32</v>
      </c>
      <c r="B22" s="88"/>
      <c r="C22" s="53">
        <f>SUM(C14:C21)</f>
        <v>0</v>
      </c>
      <c r="D22" s="93" t="s">
        <v>71</v>
      </c>
      <c r="E22" s="88"/>
      <c r="F22" s="53">
        <f>SUM(F14:F21)</f>
        <v>0</v>
      </c>
      <c r="G22" s="93" t="s">
        <v>147</v>
      </c>
      <c r="H22" s="88"/>
      <c r="I22" s="53">
        <f>SUM(I14:I21)</f>
        <v>0</v>
      </c>
    </row>
    <row r="23" spans="4:9" ht="15" customHeight="1">
      <c r="D23" s="83" t="s">
        <v>109</v>
      </c>
      <c r="E23" s="84"/>
      <c r="F23" s="40">
        <v>0</v>
      </c>
      <c r="G23" s="94" t="s">
        <v>5</v>
      </c>
      <c r="H23" s="84"/>
      <c r="I23" s="37">
        <v>0</v>
      </c>
    </row>
    <row r="24" spans="7:9" ht="15" customHeight="1">
      <c r="G24" s="83" t="s">
        <v>83</v>
      </c>
      <c r="H24" s="84"/>
      <c r="I24" s="25">
        <f>vorn_sum</f>
        <v>0</v>
      </c>
    </row>
    <row r="25" spans="7:9" ht="15" customHeight="1">
      <c r="G25" s="83" t="s">
        <v>40</v>
      </c>
      <c r="H25" s="84"/>
      <c r="I25" s="53">
        <v>0</v>
      </c>
    </row>
    <row r="27" spans="1:3" ht="15" customHeight="1">
      <c r="A27" s="95" t="s">
        <v>59</v>
      </c>
      <c r="B27" s="96"/>
      <c r="C27" s="56">
        <f>SUM('Stavební rozpočet'!AJ12:AJ34)</f>
        <v>0</v>
      </c>
    </row>
    <row r="28" spans="1:9" ht="15" customHeight="1">
      <c r="A28" s="97" t="s">
        <v>114</v>
      </c>
      <c r="B28" s="98"/>
      <c r="C28" s="26">
        <f>SUM('Stavební rozpočet'!AK12:AK34)</f>
        <v>0</v>
      </c>
      <c r="D28" s="96" t="s">
        <v>133</v>
      </c>
      <c r="E28" s="96"/>
      <c r="F28" s="56">
        <f>ROUND(C28*(12/100),2)</f>
        <v>0</v>
      </c>
      <c r="G28" s="96" t="s">
        <v>23</v>
      </c>
      <c r="H28" s="96"/>
      <c r="I28" s="56">
        <f>SUM(C27:C29)</f>
        <v>0</v>
      </c>
    </row>
    <row r="29" spans="1:9" ht="15" customHeight="1">
      <c r="A29" s="97" t="s">
        <v>3</v>
      </c>
      <c r="B29" s="98"/>
      <c r="C29" s="26">
        <f>SUM('Stavební rozpočet'!AL12:AL34)+(F22+I22+F23+I23+I24+I25)</f>
        <v>0</v>
      </c>
      <c r="D29" s="98" t="s">
        <v>101</v>
      </c>
      <c r="E29" s="98"/>
      <c r="F29" s="26">
        <f>ROUND(C29*(21/100),2)</f>
        <v>0</v>
      </c>
      <c r="G29" s="98" t="s">
        <v>57</v>
      </c>
      <c r="H29" s="98"/>
      <c r="I29" s="26">
        <f>SUM(F28:F29)+I28</f>
        <v>0</v>
      </c>
    </row>
    <row r="31" spans="1:9" ht="15" customHeight="1">
      <c r="A31" s="99" t="s">
        <v>1</v>
      </c>
      <c r="B31" s="100"/>
      <c r="C31" s="101"/>
      <c r="D31" s="100" t="s">
        <v>129</v>
      </c>
      <c r="E31" s="100"/>
      <c r="F31" s="101"/>
      <c r="G31" s="100" t="s">
        <v>92</v>
      </c>
      <c r="H31" s="100"/>
      <c r="I31" s="101"/>
    </row>
    <row r="32" spans="1:9" ht="15" customHeight="1">
      <c r="A32" s="102" t="s">
        <v>96</v>
      </c>
      <c r="B32" s="91"/>
      <c r="C32" s="103"/>
      <c r="D32" s="91" t="s">
        <v>96</v>
      </c>
      <c r="E32" s="91"/>
      <c r="F32" s="103"/>
      <c r="G32" s="91" t="s">
        <v>96</v>
      </c>
      <c r="H32" s="91"/>
      <c r="I32" s="103"/>
    </row>
    <row r="33" spans="1:9" ht="15" customHeight="1">
      <c r="A33" s="102" t="s">
        <v>96</v>
      </c>
      <c r="B33" s="91"/>
      <c r="C33" s="103"/>
      <c r="D33" s="91" t="s">
        <v>96</v>
      </c>
      <c r="E33" s="91"/>
      <c r="F33" s="103"/>
      <c r="G33" s="91" t="s">
        <v>96</v>
      </c>
      <c r="H33" s="91"/>
      <c r="I33" s="103"/>
    </row>
    <row r="34" spans="1:9" ht="15" customHeight="1">
      <c r="A34" s="102" t="s">
        <v>96</v>
      </c>
      <c r="B34" s="91"/>
      <c r="C34" s="103"/>
      <c r="D34" s="91" t="s">
        <v>96</v>
      </c>
      <c r="E34" s="91"/>
      <c r="F34" s="103"/>
      <c r="G34" s="91" t="s">
        <v>96</v>
      </c>
      <c r="H34" s="91"/>
      <c r="I34" s="103"/>
    </row>
    <row r="35" spans="1:9" ht="15" customHeight="1">
      <c r="A35" s="104" t="s">
        <v>31</v>
      </c>
      <c r="B35" s="105"/>
      <c r="C35" s="106"/>
      <c r="D35" s="105" t="s">
        <v>31</v>
      </c>
      <c r="E35" s="105"/>
      <c r="F35" s="106"/>
      <c r="G35" s="105" t="s">
        <v>31</v>
      </c>
      <c r="H35" s="105"/>
      <c r="I35" s="106"/>
    </row>
    <row r="36" ht="15" customHeight="1">
      <c r="A36" s="18" t="s">
        <v>10</v>
      </c>
    </row>
    <row r="37" spans="1:9" ht="12.75" customHeight="1">
      <c r="A37" s="68" t="s">
        <v>96</v>
      </c>
      <c r="B37" s="64"/>
      <c r="C37" s="64"/>
      <c r="D37" s="64"/>
      <c r="E37" s="64"/>
      <c r="F37" s="64"/>
      <c r="G37" s="64"/>
      <c r="H37" s="64"/>
      <c r="I37" s="64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74" t="s">
        <v>24</v>
      </c>
      <c r="B1" s="60"/>
      <c r="C1" s="60"/>
      <c r="D1" s="60"/>
      <c r="E1" s="60"/>
      <c r="F1" s="60"/>
      <c r="G1" s="60"/>
      <c r="H1" s="60"/>
      <c r="I1" s="60"/>
    </row>
    <row r="2" spans="1:9" ht="15" customHeight="1">
      <c r="A2" s="61" t="s">
        <v>7</v>
      </c>
      <c r="B2" s="62"/>
      <c r="C2" s="69" t="str">
        <f>'Stavební rozpočet'!D2</f>
        <v>24055 Bruntál, U Stadionu, odbočka k firmě VYSPRA, oprava komunikace</v>
      </c>
      <c r="D2" s="76"/>
      <c r="E2" s="67" t="s">
        <v>115</v>
      </c>
      <c r="F2" s="67" t="str">
        <f>'Stavební rozpočet'!J2</f>
        <v> </v>
      </c>
      <c r="G2" s="62"/>
      <c r="H2" s="67" t="s">
        <v>89</v>
      </c>
      <c r="I2" s="77" t="s">
        <v>96</v>
      </c>
    </row>
    <row r="3" spans="1:9" ht="25.5" customHeight="1">
      <c r="A3" s="63"/>
      <c r="B3" s="64"/>
      <c r="C3" s="70"/>
      <c r="D3" s="70"/>
      <c r="E3" s="64"/>
      <c r="F3" s="64"/>
      <c r="G3" s="64"/>
      <c r="H3" s="64"/>
      <c r="I3" s="72"/>
    </row>
    <row r="4" spans="1:9" ht="15" customHeight="1">
      <c r="A4" s="65" t="s">
        <v>76</v>
      </c>
      <c r="B4" s="64"/>
      <c r="C4" s="68" t="str">
        <f>'Stavební rozpočet'!D4</f>
        <v> </v>
      </c>
      <c r="D4" s="64"/>
      <c r="E4" s="68" t="s">
        <v>95</v>
      </c>
      <c r="F4" s="68" t="str">
        <f>'Stavební rozpočet'!J4</f>
        <v> </v>
      </c>
      <c r="G4" s="64"/>
      <c r="H4" s="68" t="s">
        <v>89</v>
      </c>
      <c r="I4" s="72" t="s">
        <v>96</v>
      </c>
    </row>
    <row r="5" spans="1:9" ht="15" customHeight="1">
      <c r="A5" s="63"/>
      <c r="B5" s="64"/>
      <c r="C5" s="64"/>
      <c r="D5" s="64"/>
      <c r="E5" s="64"/>
      <c r="F5" s="64"/>
      <c r="G5" s="64"/>
      <c r="H5" s="64"/>
      <c r="I5" s="72"/>
    </row>
    <row r="6" spans="1:9" ht="15" customHeight="1">
      <c r="A6" s="65" t="s">
        <v>11</v>
      </c>
      <c r="B6" s="64"/>
      <c r="C6" s="68" t="str">
        <f>'Stavební rozpočet'!D6</f>
        <v> </v>
      </c>
      <c r="D6" s="64"/>
      <c r="E6" s="68" t="s">
        <v>118</v>
      </c>
      <c r="F6" s="68" t="str">
        <f>'Stavební rozpočet'!J6</f>
        <v> </v>
      </c>
      <c r="G6" s="64"/>
      <c r="H6" s="68" t="s">
        <v>89</v>
      </c>
      <c r="I6" s="72" t="s">
        <v>96</v>
      </c>
    </row>
    <row r="7" spans="1:9" ht="15" customHeight="1">
      <c r="A7" s="63"/>
      <c r="B7" s="64"/>
      <c r="C7" s="64"/>
      <c r="D7" s="64"/>
      <c r="E7" s="64"/>
      <c r="F7" s="64"/>
      <c r="G7" s="64"/>
      <c r="H7" s="64"/>
      <c r="I7" s="72"/>
    </row>
    <row r="8" spans="1:9" ht="15" customHeight="1">
      <c r="A8" s="65" t="s">
        <v>120</v>
      </c>
      <c r="B8" s="64"/>
      <c r="C8" s="68" t="str">
        <f>'Stavební rozpočet'!H4</f>
        <v>08.03.2024</v>
      </c>
      <c r="D8" s="64"/>
      <c r="E8" s="68" t="s">
        <v>43</v>
      </c>
      <c r="F8" s="68" t="str">
        <f>'Stavební rozpočet'!H6</f>
        <v> </v>
      </c>
      <c r="G8" s="64"/>
      <c r="H8" s="64" t="s">
        <v>146</v>
      </c>
      <c r="I8" s="78">
        <v>10</v>
      </c>
    </row>
    <row r="9" spans="1:9" ht="15" customHeight="1">
      <c r="A9" s="63"/>
      <c r="B9" s="64"/>
      <c r="C9" s="64"/>
      <c r="D9" s="64"/>
      <c r="E9" s="64"/>
      <c r="F9" s="64"/>
      <c r="G9" s="64"/>
      <c r="H9" s="64"/>
      <c r="I9" s="72"/>
    </row>
    <row r="10" spans="1:9" ht="15" customHeight="1">
      <c r="A10" s="65" t="s">
        <v>68</v>
      </c>
      <c r="B10" s="64"/>
      <c r="C10" s="68" t="str">
        <f>'Stavební rozpočet'!D8</f>
        <v> </v>
      </c>
      <c r="D10" s="64"/>
      <c r="E10" s="68" t="s">
        <v>91</v>
      </c>
      <c r="F10" s="68" t="str">
        <f>'Stavební rozpočet'!J8</f>
        <v> </v>
      </c>
      <c r="G10" s="64"/>
      <c r="H10" s="64" t="s">
        <v>135</v>
      </c>
      <c r="I10" s="73" t="str">
        <f>'Stavební rozpočet'!H8</f>
        <v>08.03.2024</v>
      </c>
    </row>
    <row r="11" spans="1:9" ht="15" customHeight="1">
      <c r="A11" s="75"/>
      <c r="B11" s="66"/>
      <c r="C11" s="66"/>
      <c r="D11" s="66"/>
      <c r="E11" s="66"/>
      <c r="F11" s="66"/>
      <c r="G11" s="66"/>
      <c r="H11" s="66"/>
      <c r="I11" s="79"/>
    </row>
    <row r="13" spans="1:5" ht="15.75" customHeight="1">
      <c r="A13" s="107" t="s">
        <v>53</v>
      </c>
      <c r="B13" s="107"/>
      <c r="C13" s="107"/>
      <c r="D13" s="107"/>
      <c r="E13" s="107"/>
    </row>
    <row r="14" spans="1:9" ht="15" customHeight="1">
      <c r="A14" s="108" t="s">
        <v>163</v>
      </c>
      <c r="B14" s="109"/>
      <c r="C14" s="109"/>
      <c r="D14" s="109"/>
      <c r="E14" s="110"/>
      <c r="F14" s="31" t="s">
        <v>152</v>
      </c>
      <c r="G14" s="31" t="s">
        <v>119</v>
      </c>
      <c r="H14" s="31" t="s">
        <v>35</v>
      </c>
      <c r="I14" s="31" t="s">
        <v>152</v>
      </c>
    </row>
    <row r="15" spans="1:9" ht="15" customHeight="1">
      <c r="A15" s="75" t="s">
        <v>98</v>
      </c>
      <c r="B15" s="66"/>
      <c r="C15" s="66"/>
      <c r="D15" s="66"/>
      <c r="E15" s="79"/>
      <c r="F15" s="59">
        <v>0</v>
      </c>
      <c r="G15" s="5" t="s">
        <v>96</v>
      </c>
      <c r="H15" s="5" t="s">
        <v>96</v>
      </c>
      <c r="I15" s="59">
        <f>F15</f>
        <v>0</v>
      </c>
    </row>
    <row r="16" spans="1:9" ht="15" customHeight="1">
      <c r="A16" s="75" t="s">
        <v>13</v>
      </c>
      <c r="B16" s="66"/>
      <c r="C16" s="66"/>
      <c r="D16" s="66"/>
      <c r="E16" s="79"/>
      <c r="F16" s="59">
        <v>0</v>
      </c>
      <c r="G16" s="5" t="s">
        <v>96</v>
      </c>
      <c r="H16" s="5" t="s">
        <v>96</v>
      </c>
      <c r="I16" s="59">
        <f>F16</f>
        <v>0</v>
      </c>
    </row>
    <row r="17" spans="1:9" ht="15" customHeight="1">
      <c r="A17" s="63" t="s">
        <v>99</v>
      </c>
      <c r="B17" s="64"/>
      <c r="C17" s="64"/>
      <c r="D17" s="64"/>
      <c r="E17" s="72"/>
      <c r="F17" s="42">
        <v>0</v>
      </c>
      <c r="G17" s="32" t="s">
        <v>96</v>
      </c>
      <c r="H17" s="32" t="s">
        <v>96</v>
      </c>
      <c r="I17" s="42">
        <f>F17</f>
        <v>0</v>
      </c>
    </row>
    <row r="18" spans="1:9" ht="15" customHeight="1">
      <c r="A18" s="111" t="s">
        <v>157</v>
      </c>
      <c r="B18" s="112"/>
      <c r="C18" s="112"/>
      <c r="D18" s="112"/>
      <c r="E18" s="113"/>
      <c r="F18" s="11" t="s">
        <v>96</v>
      </c>
      <c r="G18" s="51" t="s">
        <v>96</v>
      </c>
      <c r="H18" s="51" t="s">
        <v>96</v>
      </c>
      <c r="I18" s="27">
        <f>SUM(I15:I17)</f>
        <v>0</v>
      </c>
    </row>
    <row r="20" spans="1:9" ht="15" customHeight="1">
      <c r="A20" s="108" t="s">
        <v>29</v>
      </c>
      <c r="B20" s="109"/>
      <c r="C20" s="109"/>
      <c r="D20" s="109"/>
      <c r="E20" s="110"/>
      <c r="F20" s="31" t="s">
        <v>152</v>
      </c>
      <c r="G20" s="31" t="s">
        <v>119</v>
      </c>
      <c r="H20" s="31" t="s">
        <v>35</v>
      </c>
      <c r="I20" s="31" t="s">
        <v>152</v>
      </c>
    </row>
    <row r="21" spans="1:9" ht="15" customHeight="1">
      <c r="A21" s="75" t="s">
        <v>16</v>
      </c>
      <c r="B21" s="66"/>
      <c r="C21" s="66"/>
      <c r="D21" s="66"/>
      <c r="E21" s="79"/>
      <c r="F21" s="59">
        <v>0</v>
      </c>
      <c r="G21" s="5" t="s">
        <v>96</v>
      </c>
      <c r="H21" s="5" t="s">
        <v>96</v>
      </c>
      <c r="I21" s="59">
        <f aca="true" t="shared" si="0" ref="I21:I26">F21</f>
        <v>0</v>
      </c>
    </row>
    <row r="22" spans="1:9" ht="15" customHeight="1">
      <c r="A22" s="75" t="s">
        <v>108</v>
      </c>
      <c r="B22" s="66"/>
      <c r="C22" s="66"/>
      <c r="D22" s="66"/>
      <c r="E22" s="79"/>
      <c r="F22" s="59">
        <v>0</v>
      </c>
      <c r="G22" s="5" t="s">
        <v>96</v>
      </c>
      <c r="H22" s="5" t="s">
        <v>96</v>
      </c>
      <c r="I22" s="59">
        <f t="shared" si="0"/>
        <v>0</v>
      </c>
    </row>
    <row r="23" spans="1:9" ht="15" customHeight="1">
      <c r="A23" s="75" t="s">
        <v>132</v>
      </c>
      <c r="B23" s="66"/>
      <c r="C23" s="66"/>
      <c r="D23" s="66"/>
      <c r="E23" s="79"/>
      <c r="F23" s="59">
        <v>0</v>
      </c>
      <c r="G23" s="5" t="s">
        <v>96</v>
      </c>
      <c r="H23" s="5" t="s">
        <v>96</v>
      </c>
      <c r="I23" s="59">
        <f t="shared" si="0"/>
        <v>0</v>
      </c>
    </row>
    <row r="24" spans="1:9" ht="15" customHeight="1">
      <c r="A24" s="75" t="s">
        <v>74</v>
      </c>
      <c r="B24" s="66"/>
      <c r="C24" s="66"/>
      <c r="D24" s="66"/>
      <c r="E24" s="79"/>
      <c r="F24" s="59">
        <v>0</v>
      </c>
      <c r="G24" s="5" t="s">
        <v>96</v>
      </c>
      <c r="H24" s="5" t="s">
        <v>96</v>
      </c>
      <c r="I24" s="59">
        <f t="shared" si="0"/>
        <v>0</v>
      </c>
    </row>
    <row r="25" spans="1:9" ht="15" customHeight="1">
      <c r="A25" s="75" t="s">
        <v>90</v>
      </c>
      <c r="B25" s="66"/>
      <c r="C25" s="66"/>
      <c r="D25" s="66"/>
      <c r="E25" s="79"/>
      <c r="F25" s="59">
        <v>0</v>
      </c>
      <c r="G25" s="5" t="s">
        <v>96</v>
      </c>
      <c r="H25" s="5" t="s">
        <v>96</v>
      </c>
      <c r="I25" s="59">
        <f t="shared" si="0"/>
        <v>0</v>
      </c>
    </row>
    <row r="26" spans="1:9" ht="15" customHeight="1">
      <c r="A26" s="63" t="s">
        <v>141</v>
      </c>
      <c r="B26" s="64"/>
      <c r="C26" s="64"/>
      <c r="D26" s="64"/>
      <c r="E26" s="72"/>
      <c r="F26" s="42">
        <v>0</v>
      </c>
      <c r="G26" s="32" t="s">
        <v>96</v>
      </c>
      <c r="H26" s="32" t="s">
        <v>96</v>
      </c>
      <c r="I26" s="42">
        <f t="shared" si="0"/>
        <v>0</v>
      </c>
    </row>
    <row r="27" spans="1:9" ht="15" customHeight="1">
      <c r="A27" s="111" t="s">
        <v>58</v>
      </c>
      <c r="B27" s="112"/>
      <c r="C27" s="112"/>
      <c r="D27" s="112"/>
      <c r="E27" s="113"/>
      <c r="F27" s="11" t="s">
        <v>96</v>
      </c>
      <c r="G27" s="51" t="s">
        <v>96</v>
      </c>
      <c r="H27" s="51" t="s">
        <v>96</v>
      </c>
      <c r="I27" s="27">
        <f>SUM(I21:I26)</f>
        <v>0</v>
      </c>
    </row>
    <row r="29" spans="1:9" ht="15.75" customHeight="1">
      <c r="A29" s="114" t="s">
        <v>153</v>
      </c>
      <c r="B29" s="115"/>
      <c r="C29" s="115"/>
      <c r="D29" s="115"/>
      <c r="E29" s="116"/>
      <c r="F29" s="117">
        <f>I18+I27</f>
        <v>0</v>
      </c>
      <c r="G29" s="118"/>
      <c r="H29" s="118"/>
      <c r="I29" s="119"/>
    </row>
    <row r="33" spans="1:5" ht="15.75" customHeight="1">
      <c r="A33" s="107" t="s">
        <v>150</v>
      </c>
      <c r="B33" s="107"/>
      <c r="C33" s="107"/>
      <c r="D33" s="107"/>
      <c r="E33" s="107"/>
    </row>
    <row r="34" spans="1:9" ht="15" customHeight="1">
      <c r="A34" s="108" t="s">
        <v>156</v>
      </c>
      <c r="B34" s="109"/>
      <c r="C34" s="109"/>
      <c r="D34" s="109"/>
      <c r="E34" s="110"/>
      <c r="F34" s="31" t="s">
        <v>152</v>
      </c>
      <c r="G34" s="31" t="s">
        <v>119</v>
      </c>
      <c r="H34" s="31" t="s">
        <v>35</v>
      </c>
      <c r="I34" s="31" t="s">
        <v>152</v>
      </c>
    </row>
    <row r="35" spans="1:9" ht="15" customHeight="1">
      <c r="A35" s="63" t="s">
        <v>96</v>
      </c>
      <c r="B35" s="64"/>
      <c r="C35" s="64"/>
      <c r="D35" s="64"/>
      <c r="E35" s="72"/>
      <c r="F35" s="42">
        <v>0</v>
      </c>
      <c r="G35" s="32" t="s">
        <v>96</v>
      </c>
      <c r="H35" s="32" t="s">
        <v>96</v>
      </c>
      <c r="I35" s="42">
        <f>F35</f>
        <v>0</v>
      </c>
    </row>
    <row r="36" spans="1:9" ht="15" customHeight="1">
      <c r="A36" s="111" t="s">
        <v>48</v>
      </c>
      <c r="B36" s="112"/>
      <c r="C36" s="112"/>
      <c r="D36" s="112"/>
      <c r="E36" s="113"/>
      <c r="F36" s="11" t="s">
        <v>96</v>
      </c>
      <c r="G36" s="51" t="s">
        <v>96</v>
      </c>
      <c r="H36" s="51" t="s">
        <v>96</v>
      </c>
      <c r="I36" s="27">
        <f>SUM(I35:I35)</f>
        <v>0</v>
      </c>
    </row>
  </sheetData>
  <sheetProtection/>
  <mergeCells count="51">
    <mergeCell ref="A36:E36"/>
    <mergeCell ref="A27:E27"/>
    <mergeCell ref="A29:E29"/>
    <mergeCell ref="F29:I29"/>
    <mergeCell ref="A33:E33"/>
    <mergeCell ref="A34:E34"/>
    <mergeCell ref="A35:E35"/>
    <mergeCell ref="A21:E21"/>
    <mergeCell ref="A22:E22"/>
    <mergeCell ref="A23:E23"/>
    <mergeCell ref="A24:E24"/>
    <mergeCell ref="A25:E25"/>
    <mergeCell ref="A26:E26"/>
    <mergeCell ref="A14:E14"/>
    <mergeCell ref="A15:E15"/>
    <mergeCell ref="A16:E16"/>
    <mergeCell ref="A17:E17"/>
    <mergeCell ref="A18:E18"/>
    <mergeCell ref="A20:E20"/>
    <mergeCell ref="I2:I3"/>
    <mergeCell ref="I4:I5"/>
    <mergeCell ref="I6:I7"/>
    <mergeCell ref="I8:I9"/>
    <mergeCell ref="I10:I11"/>
    <mergeCell ref="A13:E13"/>
    <mergeCell ref="C2:D3"/>
    <mergeCell ref="C4:D5"/>
    <mergeCell ref="C6:D7"/>
    <mergeCell ref="C8:D9"/>
    <mergeCell ref="C10:D11"/>
    <mergeCell ref="F2:G3"/>
    <mergeCell ref="F4:G5"/>
    <mergeCell ref="F6:G7"/>
    <mergeCell ref="F8:G9"/>
    <mergeCell ref="F10:G11"/>
    <mergeCell ref="E10:E11"/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7"/>
  <sheetViews>
    <sheetView tabSelected="1" showOutlineSymbols="0" zoomScalePageLayoutView="0" workbookViewId="0" topLeftCell="A1">
      <pane ySplit="11" topLeftCell="A30" activePane="bottomLeft" state="frozen"/>
      <selection pane="topLeft" activeCell="A37" sqref="A37:K37"/>
      <selection pane="bottomLeft" activeCell="D20" sqref="D20:E20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8.5" style="0" customWidth="1"/>
    <col min="5" max="5" width="41.66015625" style="0" customWidth="1"/>
    <col min="6" max="6" width="5" style="0" customWidth="1"/>
    <col min="7" max="7" width="15" style="0" customWidth="1"/>
    <col min="8" max="8" width="14" style="0" customWidth="1"/>
    <col min="9" max="9" width="18.33203125" style="0" customWidth="1"/>
    <col min="10" max="24" width="14.16015625" style="0" customWidth="1"/>
    <col min="25" max="75" width="14.16015625" style="0" hidden="1" customWidth="1"/>
  </cols>
  <sheetData>
    <row r="1" spans="1:47" ht="54.75" customHeight="1">
      <c r="A1" s="60" t="s">
        <v>123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AS1" s="4">
        <f>SUM(AJ1:AJ2)</f>
        <v>0</v>
      </c>
      <c r="AT1" s="4">
        <f>SUM(AK1:AK2)</f>
        <v>0</v>
      </c>
      <c r="AU1" s="4">
        <f>SUM(AL1:AL2)</f>
        <v>0</v>
      </c>
    </row>
    <row r="2" spans="1:11" ht="15" customHeight="1">
      <c r="A2" s="61" t="s">
        <v>7</v>
      </c>
      <c r="B2" s="62"/>
      <c r="C2" s="62"/>
      <c r="D2" s="69" t="s">
        <v>41</v>
      </c>
      <c r="E2" s="76"/>
      <c r="F2" s="62" t="s">
        <v>0</v>
      </c>
      <c r="G2" s="62"/>
      <c r="H2" s="62" t="s">
        <v>125</v>
      </c>
      <c r="I2" s="67" t="s">
        <v>115</v>
      </c>
      <c r="J2" s="62" t="s">
        <v>66</v>
      </c>
      <c r="K2" s="77"/>
    </row>
    <row r="3" spans="1:11" ht="15" customHeight="1">
      <c r="A3" s="63"/>
      <c r="B3" s="64"/>
      <c r="C3" s="64"/>
      <c r="D3" s="70"/>
      <c r="E3" s="70"/>
      <c r="F3" s="64"/>
      <c r="G3" s="64"/>
      <c r="H3" s="64"/>
      <c r="I3" s="64"/>
      <c r="J3" s="64"/>
      <c r="K3" s="72"/>
    </row>
    <row r="4" spans="1:11" ht="15" customHeight="1">
      <c r="A4" s="65" t="s">
        <v>76</v>
      </c>
      <c r="B4" s="64"/>
      <c r="C4" s="64"/>
      <c r="D4" s="68" t="s">
        <v>125</v>
      </c>
      <c r="E4" s="64"/>
      <c r="F4" s="64" t="s">
        <v>120</v>
      </c>
      <c r="G4" s="64"/>
      <c r="H4" s="64" t="s">
        <v>155</v>
      </c>
      <c r="I4" s="68" t="s">
        <v>95</v>
      </c>
      <c r="J4" s="64" t="s">
        <v>66</v>
      </c>
      <c r="K4" s="72"/>
    </row>
    <row r="5" spans="1:1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72"/>
    </row>
    <row r="6" spans="1:11" ht="15" customHeight="1">
      <c r="A6" s="65" t="s">
        <v>11</v>
      </c>
      <c r="B6" s="64"/>
      <c r="C6" s="64"/>
      <c r="D6" s="68" t="s">
        <v>125</v>
      </c>
      <c r="E6" s="64"/>
      <c r="F6" s="64" t="s">
        <v>43</v>
      </c>
      <c r="G6" s="64"/>
      <c r="H6" s="64" t="s">
        <v>125</v>
      </c>
      <c r="I6" s="68" t="s">
        <v>118</v>
      </c>
      <c r="J6" s="64" t="s">
        <v>66</v>
      </c>
      <c r="K6" s="72"/>
    </row>
    <row r="7" spans="1:11" ht="1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72"/>
    </row>
    <row r="8" spans="1:11" ht="15" customHeight="1">
      <c r="A8" s="65" t="s">
        <v>68</v>
      </c>
      <c r="B8" s="64"/>
      <c r="C8" s="64"/>
      <c r="D8" s="68" t="s">
        <v>125</v>
      </c>
      <c r="E8" s="64"/>
      <c r="F8" s="64" t="s">
        <v>78</v>
      </c>
      <c r="G8" s="64"/>
      <c r="H8" s="64" t="s">
        <v>155</v>
      </c>
      <c r="I8" s="68" t="s">
        <v>91</v>
      </c>
      <c r="J8" s="64" t="s">
        <v>66</v>
      </c>
      <c r="K8" s="72"/>
    </row>
    <row r="9" spans="1:11" ht="15" customHeight="1">
      <c r="A9" s="63"/>
      <c r="B9" s="64"/>
      <c r="C9" s="64"/>
      <c r="D9" s="64"/>
      <c r="E9" s="64"/>
      <c r="F9" s="64"/>
      <c r="G9" s="64"/>
      <c r="H9" s="64"/>
      <c r="I9" s="64"/>
      <c r="J9" s="66"/>
      <c r="K9" s="79"/>
    </row>
    <row r="10" spans="1:75" ht="15" customHeight="1">
      <c r="A10" s="12" t="s">
        <v>9</v>
      </c>
      <c r="B10" s="30" t="s">
        <v>100</v>
      </c>
      <c r="C10" s="30" t="s">
        <v>44</v>
      </c>
      <c r="D10" s="120" t="s">
        <v>158</v>
      </c>
      <c r="E10" s="121"/>
      <c r="F10" s="30" t="s">
        <v>46</v>
      </c>
      <c r="G10" s="46" t="s">
        <v>81</v>
      </c>
      <c r="H10" s="14" t="s">
        <v>42</v>
      </c>
      <c r="I10" s="13" t="s">
        <v>88</v>
      </c>
      <c r="K10" s="45"/>
      <c r="BK10" s="49" t="s">
        <v>55</v>
      </c>
      <c r="BL10" s="21" t="s">
        <v>73</v>
      </c>
      <c r="BW10" s="21" t="s">
        <v>161</v>
      </c>
    </row>
    <row r="11" spans="1:62" ht="15" customHeight="1">
      <c r="A11" s="43" t="s">
        <v>125</v>
      </c>
      <c r="B11" s="23" t="s">
        <v>125</v>
      </c>
      <c r="C11" s="23" t="s">
        <v>125</v>
      </c>
      <c r="D11" s="122" t="s">
        <v>145</v>
      </c>
      <c r="E11" s="123"/>
      <c r="F11" s="23" t="s">
        <v>125</v>
      </c>
      <c r="G11" s="23" t="s">
        <v>125</v>
      </c>
      <c r="H11" s="2" t="s">
        <v>131</v>
      </c>
      <c r="I11" s="20" t="s">
        <v>15</v>
      </c>
      <c r="K11" s="45"/>
      <c r="Z11" s="49" t="s">
        <v>104</v>
      </c>
      <c r="AA11" s="49" t="s">
        <v>86</v>
      </c>
      <c r="AB11" s="49" t="s">
        <v>151</v>
      </c>
      <c r="AC11" s="49" t="s">
        <v>38</v>
      </c>
      <c r="AD11" s="49" t="s">
        <v>116</v>
      </c>
      <c r="AE11" s="49" t="s">
        <v>51</v>
      </c>
      <c r="AF11" s="49" t="s">
        <v>122</v>
      </c>
      <c r="AG11" s="49" t="s">
        <v>63</v>
      </c>
      <c r="AH11" s="49" t="s">
        <v>37</v>
      </c>
      <c r="BH11" s="49" t="s">
        <v>105</v>
      </c>
      <c r="BI11" s="49" t="s">
        <v>148</v>
      </c>
      <c r="BJ11" s="49" t="s">
        <v>160</v>
      </c>
    </row>
    <row r="12" spans="1:47" ht="15" customHeight="1">
      <c r="A12" s="28" t="s">
        <v>96</v>
      </c>
      <c r="B12" s="41" t="s">
        <v>96</v>
      </c>
      <c r="C12" s="41" t="s">
        <v>113</v>
      </c>
      <c r="D12" s="124" t="s">
        <v>77</v>
      </c>
      <c r="E12" s="125"/>
      <c r="F12" s="15" t="s">
        <v>125</v>
      </c>
      <c r="G12" s="15" t="s">
        <v>125</v>
      </c>
      <c r="H12" s="15" t="s">
        <v>125</v>
      </c>
      <c r="I12" s="55">
        <f>SUM(I13:I13)</f>
        <v>0</v>
      </c>
      <c r="K12" s="45"/>
      <c r="AI12" s="49" t="s">
        <v>96</v>
      </c>
      <c r="AS12" s="4">
        <f>SUM(AJ13:AJ13)</f>
        <v>0</v>
      </c>
      <c r="AT12" s="4">
        <f>SUM(AK13:AK13)</f>
        <v>0</v>
      </c>
      <c r="AU12" s="4">
        <f>SUM(AL13:AL13)</f>
        <v>0</v>
      </c>
    </row>
    <row r="13" spans="1:75" ht="13.5" customHeight="1">
      <c r="A13" s="1" t="s">
        <v>143</v>
      </c>
      <c r="B13" s="6" t="s">
        <v>96</v>
      </c>
      <c r="C13" s="6" t="s">
        <v>126</v>
      </c>
      <c r="D13" s="68" t="s">
        <v>93</v>
      </c>
      <c r="E13" s="64"/>
      <c r="F13" s="6" t="s">
        <v>137</v>
      </c>
      <c r="G13" s="24">
        <v>150.5</v>
      </c>
      <c r="H13" s="24">
        <v>0</v>
      </c>
      <c r="I13" s="24">
        <f>G13*H13</f>
        <v>0</v>
      </c>
      <c r="K13" s="45"/>
      <c r="Z13" s="24">
        <f>IF(AQ13="5",BJ13,0)</f>
        <v>0</v>
      </c>
      <c r="AB13" s="24">
        <f>IF(AQ13="1",BH13,0)</f>
        <v>0</v>
      </c>
      <c r="AC13" s="24">
        <f>IF(AQ13="1",BI13,0)</f>
        <v>0</v>
      </c>
      <c r="AD13" s="24">
        <f>IF(AQ13="7",BH13,0)</f>
        <v>0</v>
      </c>
      <c r="AE13" s="24">
        <f>IF(AQ13="7",BI13,0)</f>
        <v>0</v>
      </c>
      <c r="AF13" s="24">
        <f>IF(AQ13="2",BH13,0)</f>
        <v>0</v>
      </c>
      <c r="AG13" s="24">
        <f>IF(AQ13="2",BI13,0)</f>
        <v>0</v>
      </c>
      <c r="AH13" s="24">
        <f>IF(AQ13="0",BJ13,0)</f>
        <v>0</v>
      </c>
      <c r="AI13" s="49" t="s">
        <v>96</v>
      </c>
      <c r="AJ13" s="24">
        <f>IF(AN13=0,I13,0)</f>
        <v>0</v>
      </c>
      <c r="AK13" s="24">
        <f>IF(AN13=12,I13,0)</f>
        <v>0</v>
      </c>
      <c r="AL13" s="24">
        <f>IF(AN13=21,I13,0)</f>
        <v>0</v>
      </c>
      <c r="AN13" s="24">
        <v>21</v>
      </c>
      <c r="AO13" s="24">
        <f>H13*0</f>
        <v>0</v>
      </c>
      <c r="AP13" s="24">
        <f>H13*(1-0)</f>
        <v>0</v>
      </c>
      <c r="AQ13" s="48" t="s">
        <v>143</v>
      </c>
      <c r="AV13" s="24">
        <f>AW13+AX13</f>
        <v>0</v>
      </c>
      <c r="AW13" s="24">
        <f>G13*AO13</f>
        <v>0</v>
      </c>
      <c r="AX13" s="24">
        <f>G13*AP13</f>
        <v>0</v>
      </c>
      <c r="AY13" s="48" t="s">
        <v>17</v>
      </c>
      <c r="AZ13" s="48" t="s">
        <v>19</v>
      </c>
      <c r="BA13" s="49" t="s">
        <v>103</v>
      </c>
      <c r="BC13" s="24">
        <f>AW13+AX13</f>
        <v>0</v>
      </c>
      <c r="BD13" s="24">
        <f>H13/(100-BE13)*100</f>
        <v>0</v>
      </c>
      <c r="BE13" s="24">
        <v>0</v>
      </c>
      <c r="BF13" s="24">
        <f>13</f>
        <v>13</v>
      </c>
      <c r="BH13" s="24">
        <f>G13*AO13</f>
        <v>0</v>
      </c>
      <c r="BI13" s="24">
        <f>G13*AP13</f>
        <v>0</v>
      </c>
      <c r="BJ13" s="24">
        <f>G13*H13</f>
        <v>0</v>
      </c>
      <c r="BK13" s="24"/>
      <c r="BL13" s="24">
        <v>11</v>
      </c>
      <c r="BW13" s="24">
        <v>21</v>
      </c>
    </row>
    <row r="14" spans="1:11" ht="15" customHeight="1">
      <c r="A14" s="50"/>
      <c r="D14" s="58" t="s">
        <v>164</v>
      </c>
      <c r="E14" s="58" t="s">
        <v>96</v>
      </c>
      <c r="G14" s="34">
        <v>71.5</v>
      </c>
      <c r="K14" s="45"/>
    </row>
    <row r="15" spans="1:11" ht="15" customHeight="1">
      <c r="A15" s="50"/>
      <c r="D15" s="58" t="s">
        <v>80</v>
      </c>
      <c r="E15" s="58" t="s">
        <v>96</v>
      </c>
      <c r="G15" s="34">
        <v>62.50000000000001</v>
      </c>
      <c r="K15" s="45"/>
    </row>
    <row r="16" spans="1:11" ht="15" customHeight="1">
      <c r="A16" s="50"/>
      <c r="D16" s="58" t="s">
        <v>110</v>
      </c>
      <c r="E16" s="58" t="s">
        <v>96</v>
      </c>
      <c r="G16" s="34">
        <v>16.5</v>
      </c>
      <c r="K16" s="45"/>
    </row>
    <row r="17" spans="1:47" ht="15" customHeight="1">
      <c r="A17" s="39" t="s">
        <v>96</v>
      </c>
      <c r="B17" s="47" t="s">
        <v>96</v>
      </c>
      <c r="C17" s="47" t="s">
        <v>130</v>
      </c>
      <c r="D17" s="124" t="s">
        <v>70</v>
      </c>
      <c r="E17" s="125"/>
      <c r="F17" s="54" t="s">
        <v>125</v>
      </c>
      <c r="G17" s="54" t="s">
        <v>125</v>
      </c>
      <c r="H17" s="54" t="s">
        <v>125</v>
      </c>
      <c r="I17" s="4">
        <f>SUM(I18:I21)</f>
        <v>0</v>
      </c>
      <c r="K17" s="45"/>
      <c r="AI17" s="49" t="s">
        <v>96</v>
      </c>
      <c r="AS17" s="4">
        <f>SUM(AJ18:AJ21)</f>
        <v>0</v>
      </c>
      <c r="AT17" s="4">
        <f>SUM(AK18:AK21)</f>
        <v>0</v>
      </c>
      <c r="AU17" s="4">
        <f>SUM(AL18:AL21)</f>
        <v>0</v>
      </c>
    </row>
    <row r="18" spans="1:75" ht="27" customHeight="1">
      <c r="A18" s="1" t="s">
        <v>94</v>
      </c>
      <c r="B18" s="6" t="s">
        <v>96</v>
      </c>
      <c r="C18" s="6" t="s">
        <v>18</v>
      </c>
      <c r="D18" s="68" t="s">
        <v>124</v>
      </c>
      <c r="E18" s="64"/>
      <c r="F18" s="6" t="s">
        <v>137</v>
      </c>
      <c r="G18" s="24">
        <v>301</v>
      </c>
      <c r="H18" s="24">
        <v>0</v>
      </c>
      <c r="I18" s="24">
        <f>G18*H18</f>
        <v>0</v>
      </c>
      <c r="K18" s="45"/>
      <c r="Z18" s="24">
        <f>IF(AQ18="5",BJ18,0)</f>
        <v>0</v>
      </c>
      <c r="AB18" s="24">
        <f>IF(AQ18="1",BH18,0)</f>
        <v>0</v>
      </c>
      <c r="AC18" s="24">
        <f>IF(AQ18="1",BI18,0)</f>
        <v>0</v>
      </c>
      <c r="AD18" s="24">
        <f>IF(AQ18="7",BH18,0)</f>
        <v>0</v>
      </c>
      <c r="AE18" s="24">
        <f>IF(AQ18="7",BI18,0)</f>
        <v>0</v>
      </c>
      <c r="AF18" s="24">
        <f>IF(AQ18="2",BH18,0)</f>
        <v>0</v>
      </c>
      <c r="AG18" s="24">
        <f>IF(AQ18="2",BI18,0)</f>
        <v>0</v>
      </c>
      <c r="AH18" s="24">
        <f>IF(AQ18="0",BJ18,0)</f>
        <v>0</v>
      </c>
      <c r="AI18" s="49" t="s">
        <v>96</v>
      </c>
      <c r="AJ18" s="24">
        <f>IF(AN18=0,I18,0)</f>
        <v>0</v>
      </c>
      <c r="AK18" s="24">
        <f>IF(AN18=12,I18,0)</f>
        <v>0</v>
      </c>
      <c r="AL18" s="24">
        <f>IF(AN18=21,I18,0)</f>
        <v>0</v>
      </c>
      <c r="AN18" s="24">
        <v>21</v>
      </c>
      <c r="AO18" s="24">
        <f>H18*0.906711409395973</f>
        <v>0</v>
      </c>
      <c r="AP18" s="24">
        <f>H18*(1-0.906711409395973)</f>
        <v>0</v>
      </c>
      <c r="AQ18" s="48" t="s">
        <v>143</v>
      </c>
      <c r="AV18" s="24">
        <f>AW18+AX18</f>
        <v>0</v>
      </c>
      <c r="AW18" s="24">
        <f>G18*AO18</f>
        <v>0</v>
      </c>
      <c r="AX18" s="24">
        <f>G18*AP18</f>
        <v>0</v>
      </c>
      <c r="AY18" s="48" t="s">
        <v>56</v>
      </c>
      <c r="AZ18" s="48" t="s">
        <v>82</v>
      </c>
      <c r="BA18" s="49" t="s">
        <v>103</v>
      </c>
      <c r="BC18" s="24">
        <f>AW18+AX18</f>
        <v>0</v>
      </c>
      <c r="BD18" s="24">
        <f>H18/(100-BE18)*100</f>
        <v>0</v>
      </c>
      <c r="BE18" s="24">
        <v>0</v>
      </c>
      <c r="BF18" s="24">
        <f>18</f>
        <v>18</v>
      </c>
      <c r="BH18" s="24">
        <f>G18*AO18</f>
        <v>0</v>
      </c>
      <c r="BI18" s="24">
        <f>G18*AP18</f>
        <v>0</v>
      </c>
      <c r="BJ18" s="24">
        <f>G18*H18</f>
        <v>0</v>
      </c>
      <c r="BK18" s="24"/>
      <c r="BL18" s="24">
        <v>57</v>
      </c>
      <c r="BW18" s="24">
        <v>21</v>
      </c>
    </row>
    <row r="19" spans="1:11" ht="15" customHeight="1">
      <c r="A19" s="50"/>
      <c r="D19" s="58" t="s">
        <v>14</v>
      </c>
      <c r="E19" s="58" t="s">
        <v>96</v>
      </c>
      <c r="G19" s="34">
        <v>301</v>
      </c>
      <c r="K19" s="45"/>
    </row>
    <row r="20" spans="1:75" ht="13.5" customHeight="1">
      <c r="A20" s="1" t="s">
        <v>117</v>
      </c>
      <c r="B20" s="6" t="s">
        <v>96</v>
      </c>
      <c r="C20" s="6" t="s">
        <v>69</v>
      </c>
      <c r="D20" s="68" t="s">
        <v>165</v>
      </c>
      <c r="E20" s="64"/>
      <c r="F20" s="6" t="s">
        <v>137</v>
      </c>
      <c r="G20" s="24">
        <v>150.5</v>
      </c>
      <c r="H20" s="24">
        <v>0</v>
      </c>
      <c r="I20" s="24">
        <f>G20*H20</f>
        <v>0</v>
      </c>
      <c r="K20" s="45"/>
      <c r="Z20" s="24">
        <f>IF(AQ20="5",BJ20,0)</f>
        <v>0</v>
      </c>
      <c r="AB20" s="24">
        <f>IF(AQ20="1",BH20,0)</f>
        <v>0</v>
      </c>
      <c r="AC20" s="24">
        <f>IF(AQ20="1",BI20,0)</f>
        <v>0</v>
      </c>
      <c r="AD20" s="24">
        <f>IF(AQ20="7",BH20,0)</f>
        <v>0</v>
      </c>
      <c r="AE20" s="24">
        <f>IF(AQ20="7",BI20,0)</f>
        <v>0</v>
      </c>
      <c r="AF20" s="24">
        <f>IF(AQ20="2",BH20,0)</f>
        <v>0</v>
      </c>
      <c r="AG20" s="24">
        <f>IF(AQ20="2",BI20,0)</f>
        <v>0</v>
      </c>
      <c r="AH20" s="24">
        <f>IF(AQ20="0",BJ20,0)</f>
        <v>0</v>
      </c>
      <c r="AI20" s="49" t="s">
        <v>96</v>
      </c>
      <c r="AJ20" s="24">
        <f>IF(AN20=0,I20,0)</f>
        <v>0</v>
      </c>
      <c r="AK20" s="24">
        <f>IF(AN20=12,I20,0)</f>
        <v>0</v>
      </c>
      <c r="AL20" s="24">
        <f>IF(AN20=21,I20,0)</f>
        <v>0</v>
      </c>
      <c r="AN20" s="24">
        <v>21</v>
      </c>
      <c r="AO20" s="24">
        <f>H20*0.785423728813559</f>
        <v>0</v>
      </c>
      <c r="AP20" s="24">
        <f>H20*(1-0.785423728813559)</f>
        <v>0</v>
      </c>
      <c r="AQ20" s="48" t="s">
        <v>143</v>
      </c>
      <c r="AV20" s="24">
        <f>AW20+AX20</f>
        <v>0</v>
      </c>
      <c r="AW20" s="24">
        <f>G20*AO20</f>
        <v>0</v>
      </c>
      <c r="AX20" s="24">
        <f>G20*AP20</f>
        <v>0</v>
      </c>
      <c r="AY20" s="48" t="s">
        <v>56</v>
      </c>
      <c r="AZ20" s="48" t="s">
        <v>82</v>
      </c>
      <c r="BA20" s="49" t="s">
        <v>103</v>
      </c>
      <c r="BC20" s="24">
        <f>AW20+AX20</f>
        <v>0</v>
      </c>
      <c r="BD20" s="24">
        <f>H20/(100-BE20)*100</f>
        <v>0</v>
      </c>
      <c r="BE20" s="24">
        <v>0</v>
      </c>
      <c r="BF20" s="24">
        <f>20</f>
        <v>20</v>
      </c>
      <c r="BH20" s="24">
        <f>G20*AO20</f>
        <v>0</v>
      </c>
      <c r="BI20" s="24">
        <f>G20*AP20</f>
        <v>0</v>
      </c>
      <c r="BJ20" s="24">
        <f>G20*H20</f>
        <v>0</v>
      </c>
      <c r="BK20" s="24"/>
      <c r="BL20" s="24">
        <v>57</v>
      </c>
      <c r="BW20" s="24">
        <v>21</v>
      </c>
    </row>
    <row r="21" spans="1:75" ht="13.5" customHeight="1">
      <c r="A21" s="1" t="s">
        <v>20</v>
      </c>
      <c r="B21" s="6" t="s">
        <v>96</v>
      </c>
      <c r="C21" s="6" t="s">
        <v>72</v>
      </c>
      <c r="D21" s="68" t="s">
        <v>21</v>
      </c>
      <c r="E21" s="64"/>
      <c r="F21" s="6" t="s">
        <v>65</v>
      </c>
      <c r="G21" s="24">
        <v>8</v>
      </c>
      <c r="H21" s="24">
        <v>0</v>
      </c>
      <c r="I21" s="24">
        <f>G21*H21</f>
        <v>0</v>
      </c>
      <c r="K21" s="45"/>
      <c r="Z21" s="24">
        <f>IF(AQ21="5",BJ21,0)</f>
        <v>0</v>
      </c>
      <c r="AB21" s="24">
        <f>IF(AQ21="1",BH21,0)</f>
        <v>0</v>
      </c>
      <c r="AC21" s="24">
        <f>IF(AQ21="1",BI21,0)</f>
        <v>0</v>
      </c>
      <c r="AD21" s="24">
        <f>IF(AQ21="7",BH21,0)</f>
        <v>0</v>
      </c>
      <c r="AE21" s="24">
        <f>IF(AQ21="7",BI21,0)</f>
        <v>0</v>
      </c>
      <c r="AF21" s="24">
        <f>IF(AQ21="2",BH21,0)</f>
        <v>0</v>
      </c>
      <c r="AG21" s="24">
        <f>IF(AQ21="2",BI21,0)</f>
        <v>0</v>
      </c>
      <c r="AH21" s="24">
        <f>IF(AQ21="0",BJ21,0)</f>
        <v>0</v>
      </c>
      <c r="AI21" s="49" t="s">
        <v>96</v>
      </c>
      <c r="AJ21" s="24">
        <f>IF(AN21=0,I21,0)</f>
        <v>0</v>
      </c>
      <c r="AK21" s="24">
        <f>IF(AN21=12,I21,0)</f>
        <v>0</v>
      </c>
      <c r="AL21" s="24">
        <f>IF(AN21=21,I21,0)</f>
        <v>0</v>
      </c>
      <c r="AN21" s="24">
        <v>21</v>
      </c>
      <c r="AO21" s="24">
        <f>H21*0.915704119850187</f>
        <v>0</v>
      </c>
      <c r="AP21" s="24">
        <f>H21*(1-0.915704119850187)</f>
        <v>0</v>
      </c>
      <c r="AQ21" s="48" t="s">
        <v>143</v>
      </c>
      <c r="AV21" s="24">
        <f>AW21+AX21</f>
        <v>0</v>
      </c>
      <c r="AW21" s="24">
        <f>G21*AO21</f>
        <v>0</v>
      </c>
      <c r="AX21" s="24">
        <f>G21*AP21</f>
        <v>0</v>
      </c>
      <c r="AY21" s="48" t="s">
        <v>56</v>
      </c>
      <c r="AZ21" s="48" t="s">
        <v>82</v>
      </c>
      <c r="BA21" s="49" t="s">
        <v>103</v>
      </c>
      <c r="BC21" s="24">
        <f>AW21+AX21</f>
        <v>0</v>
      </c>
      <c r="BD21" s="24">
        <f>H21/(100-BE21)*100</f>
        <v>0</v>
      </c>
      <c r="BE21" s="24">
        <v>0</v>
      </c>
      <c r="BF21" s="24">
        <f>21</f>
        <v>21</v>
      </c>
      <c r="BH21" s="24">
        <f>G21*AO21</f>
        <v>0</v>
      </c>
      <c r="BI21" s="24">
        <f>G21*AP21</f>
        <v>0</v>
      </c>
      <c r="BJ21" s="24">
        <f>G21*H21</f>
        <v>0</v>
      </c>
      <c r="BK21" s="24"/>
      <c r="BL21" s="24">
        <v>57</v>
      </c>
      <c r="BW21" s="24">
        <v>21</v>
      </c>
    </row>
    <row r="22" spans="1:47" ht="15" customHeight="1">
      <c r="A22" s="39" t="s">
        <v>96</v>
      </c>
      <c r="B22" s="47" t="s">
        <v>96</v>
      </c>
      <c r="C22" s="47" t="s">
        <v>64</v>
      </c>
      <c r="D22" s="124" t="s">
        <v>127</v>
      </c>
      <c r="E22" s="125"/>
      <c r="F22" s="54" t="s">
        <v>125</v>
      </c>
      <c r="G22" s="54" t="s">
        <v>125</v>
      </c>
      <c r="H22" s="54" t="s">
        <v>125</v>
      </c>
      <c r="I22" s="4">
        <f>SUM(I23:I23)</f>
        <v>0</v>
      </c>
      <c r="K22" s="45"/>
      <c r="AI22" s="49" t="s">
        <v>96</v>
      </c>
      <c r="AS22" s="4">
        <f>SUM(AJ23:AJ23)</f>
        <v>0</v>
      </c>
      <c r="AT22" s="4">
        <f>SUM(AK23:AK23)</f>
        <v>0</v>
      </c>
      <c r="AU22" s="4">
        <f>SUM(AL23:AL23)</f>
        <v>0</v>
      </c>
    </row>
    <row r="23" spans="1:75" ht="13.5" customHeight="1">
      <c r="A23" s="1" t="s">
        <v>75</v>
      </c>
      <c r="B23" s="6" t="s">
        <v>96</v>
      </c>
      <c r="C23" s="6" t="s">
        <v>162</v>
      </c>
      <c r="D23" s="68" t="s">
        <v>139</v>
      </c>
      <c r="E23" s="64"/>
      <c r="F23" s="6" t="s">
        <v>111</v>
      </c>
      <c r="G23" s="24">
        <v>40</v>
      </c>
      <c r="H23" s="24">
        <v>0</v>
      </c>
      <c r="I23" s="24">
        <f>G23*H23</f>
        <v>0</v>
      </c>
      <c r="K23" s="45"/>
      <c r="Z23" s="24">
        <f>IF(AQ23="5",BJ23,0)</f>
        <v>0</v>
      </c>
      <c r="AB23" s="24">
        <f>IF(AQ23="1",BH23,0)</f>
        <v>0</v>
      </c>
      <c r="AC23" s="24">
        <f>IF(AQ23="1",BI23,0)</f>
        <v>0</v>
      </c>
      <c r="AD23" s="24">
        <f>IF(AQ23="7",BH23,0)</f>
        <v>0</v>
      </c>
      <c r="AE23" s="24">
        <f>IF(AQ23="7",BI23,0)</f>
        <v>0</v>
      </c>
      <c r="AF23" s="24">
        <f>IF(AQ23="2",BH23,0)</f>
        <v>0</v>
      </c>
      <c r="AG23" s="24">
        <f>IF(AQ23="2",BI23,0)</f>
        <v>0</v>
      </c>
      <c r="AH23" s="24">
        <f>IF(AQ23="0",BJ23,0)</f>
        <v>0</v>
      </c>
      <c r="AI23" s="49" t="s">
        <v>96</v>
      </c>
      <c r="AJ23" s="24">
        <f>IF(AN23=0,I23,0)</f>
        <v>0</v>
      </c>
      <c r="AK23" s="24">
        <f>IF(AN23=12,I23,0)</f>
        <v>0</v>
      </c>
      <c r="AL23" s="24">
        <f>IF(AN23=21,I23,0)</f>
        <v>0</v>
      </c>
      <c r="AN23" s="24">
        <v>21</v>
      </c>
      <c r="AO23" s="24">
        <f>H23*0.87521613832853</f>
        <v>0</v>
      </c>
      <c r="AP23" s="24">
        <f>H23*(1-0.87521613832853)</f>
        <v>0</v>
      </c>
      <c r="AQ23" s="48" t="s">
        <v>143</v>
      </c>
      <c r="AV23" s="24">
        <f>AW23+AX23</f>
        <v>0</v>
      </c>
      <c r="AW23" s="24">
        <f>G23*AO23</f>
        <v>0</v>
      </c>
      <c r="AX23" s="24">
        <f>G23*AP23</f>
        <v>0</v>
      </c>
      <c r="AY23" s="48" t="s">
        <v>138</v>
      </c>
      <c r="AZ23" s="48" t="s">
        <v>82</v>
      </c>
      <c r="BA23" s="49" t="s">
        <v>103</v>
      </c>
      <c r="BC23" s="24">
        <f>AW23+AX23</f>
        <v>0</v>
      </c>
      <c r="BD23" s="24">
        <f>H23/(100-BE23)*100</f>
        <v>0</v>
      </c>
      <c r="BE23" s="24">
        <v>0</v>
      </c>
      <c r="BF23" s="24">
        <f>23</f>
        <v>23</v>
      </c>
      <c r="BH23" s="24">
        <f>G23*AO23</f>
        <v>0</v>
      </c>
      <c r="BI23" s="24">
        <f>G23*AP23</f>
        <v>0</v>
      </c>
      <c r="BJ23" s="24">
        <f>G23*H23</f>
        <v>0</v>
      </c>
      <c r="BK23" s="24"/>
      <c r="BL23" s="24">
        <v>59</v>
      </c>
      <c r="BW23" s="24">
        <v>21</v>
      </c>
    </row>
    <row r="24" spans="1:11" ht="15" customHeight="1">
      <c r="A24" s="50"/>
      <c r="D24" s="58" t="s">
        <v>27</v>
      </c>
      <c r="E24" s="58" t="s">
        <v>96</v>
      </c>
      <c r="G24" s="34">
        <v>40</v>
      </c>
      <c r="K24" s="45"/>
    </row>
    <row r="25" spans="1:47" ht="15" customHeight="1">
      <c r="A25" s="39" t="s">
        <v>96</v>
      </c>
      <c r="B25" s="47" t="s">
        <v>96</v>
      </c>
      <c r="C25" s="47" t="s">
        <v>2</v>
      </c>
      <c r="D25" s="124" t="s">
        <v>49</v>
      </c>
      <c r="E25" s="125"/>
      <c r="F25" s="54" t="s">
        <v>125</v>
      </c>
      <c r="G25" s="54" t="s">
        <v>125</v>
      </c>
      <c r="H25" s="54" t="s">
        <v>125</v>
      </c>
      <c r="I25" s="4">
        <f>SUM(I26:I29)</f>
        <v>0</v>
      </c>
      <c r="K25" s="45"/>
      <c r="AI25" s="49" t="s">
        <v>96</v>
      </c>
      <c r="AS25" s="4">
        <f>SUM(AJ26:AJ29)</f>
        <v>0</v>
      </c>
      <c r="AT25" s="4">
        <f>SUM(AK26:AK29)</f>
        <v>0</v>
      </c>
      <c r="AU25" s="4">
        <f>SUM(AL26:AL29)</f>
        <v>0</v>
      </c>
    </row>
    <row r="26" spans="1:75" ht="13.5" customHeight="1">
      <c r="A26" s="1" t="s">
        <v>25</v>
      </c>
      <c r="B26" s="6" t="s">
        <v>96</v>
      </c>
      <c r="C26" s="6" t="s">
        <v>102</v>
      </c>
      <c r="D26" s="68" t="s">
        <v>84</v>
      </c>
      <c r="E26" s="64"/>
      <c r="F26" s="6" t="s">
        <v>111</v>
      </c>
      <c r="G26" s="24">
        <v>15</v>
      </c>
      <c r="H26" s="24">
        <v>0</v>
      </c>
      <c r="I26" s="24">
        <f>G26*H26</f>
        <v>0</v>
      </c>
      <c r="K26" s="45"/>
      <c r="Z26" s="24">
        <f>IF(AQ26="5",BJ26,0)</f>
        <v>0</v>
      </c>
      <c r="AB26" s="24">
        <f>IF(AQ26="1",BH26,0)</f>
        <v>0</v>
      </c>
      <c r="AC26" s="24">
        <f>IF(AQ26="1",BI26,0)</f>
        <v>0</v>
      </c>
      <c r="AD26" s="24">
        <f>IF(AQ26="7",BH26,0)</f>
        <v>0</v>
      </c>
      <c r="AE26" s="24">
        <f>IF(AQ26="7",BI26,0)</f>
        <v>0</v>
      </c>
      <c r="AF26" s="24">
        <f>IF(AQ26="2",BH26,0)</f>
        <v>0</v>
      </c>
      <c r="AG26" s="24">
        <f>IF(AQ26="2",BI26,0)</f>
        <v>0</v>
      </c>
      <c r="AH26" s="24">
        <f>IF(AQ26="0",BJ26,0)</f>
        <v>0</v>
      </c>
      <c r="AI26" s="49" t="s">
        <v>96</v>
      </c>
      <c r="AJ26" s="24">
        <f>IF(AN26=0,I26,0)</f>
        <v>0</v>
      </c>
      <c r="AK26" s="24">
        <f>IF(AN26=12,I26,0)</f>
        <v>0</v>
      </c>
      <c r="AL26" s="24">
        <f>IF(AN26=21,I26,0)</f>
        <v>0</v>
      </c>
      <c r="AN26" s="24">
        <v>21</v>
      </c>
      <c r="AO26" s="24">
        <f>H26*0.579044117647059</f>
        <v>0</v>
      </c>
      <c r="AP26" s="24">
        <f>H26*(1-0.579044117647059)</f>
        <v>0</v>
      </c>
      <c r="AQ26" s="48" t="s">
        <v>143</v>
      </c>
      <c r="AV26" s="24">
        <f>AW26+AX26</f>
        <v>0</v>
      </c>
      <c r="AW26" s="24">
        <f>G26*AO26</f>
        <v>0</v>
      </c>
      <c r="AX26" s="24">
        <f>G26*AP26</f>
        <v>0</v>
      </c>
      <c r="AY26" s="48" t="s">
        <v>136</v>
      </c>
      <c r="AZ26" s="48" t="s">
        <v>47</v>
      </c>
      <c r="BA26" s="49" t="s">
        <v>103</v>
      </c>
      <c r="BC26" s="24">
        <f>AW26+AX26</f>
        <v>0</v>
      </c>
      <c r="BD26" s="24">
        <f>H26/(100-BE26)*100</f>
        <v>0</v>
      </c>
      <c r="BE26" s="24">
        <v>0</v>
      </c>
      <c r="BF26" s="24">
        <f>26</f>
        <v>26</v>
      </c>
      <c r="BH26" s="24">
        <f>G26*AO26</f>
        <v>0</v>
      </c>
      <c r="BI26" s="24">
        <f>G26*AP26</f>
        <v>0</v>
      </c>
      <c r="BJ26" s="24">
        <f>G26*H26</f>
        <v>0</v>
      </c>
      <c r="BK26" s="24"/>
      <c r="BL26" s="24">
        <v>91</v>
      </c>
      <c r="BW26" s="24">
        <v>21</v>
      </c>
    </row>
    <row r="27" spans="1:11" ht="15" customHeight="1">
      <c r="A27" s="50"/>
      <c r="D27" s="58" t="s">
        <v>85</v>
      </c>
      <c r="E27" s="58" t="s">
        <v>96</v>
      </c>
      <c r="G27" s="34">
        <v>11.000000000000002</v>
      </c>
      <c r="K27" s="45"/>
    </row>
    <row r="28" spans="1:11" ht="15" customHeight="1">
      <c r="A28" s="50"/>
      <c r="D28" s="58" t="s">
        <v>149</v>
      </c>
      <c r="E28" s="58" t="s">
        <v>96</v>
      </c>
      <c r="G28" s="34">
        <v>4</v>
      </c>
      <c r="K28" s="45"/>
    </row>
    <row r="29" spans="1:75" ht="13.5" customHeight="1">
      <c r="A29" s="1" t="s">
        <v>144</v>
      </c>
      <c r="B29" s="6" t="s">
        <v>96</v>
      </c>
      <c r="C29" s="6" t="s">
        <v>142</v>
      </c>
      <c r="D29" s="68" t="s">
        <v>4</v>
      </c>
      <c r="E29" s="64"/>
      <c r="F29" s="6" t="s">
        <v>65</v>
      </c>
      <c r="G29" s="24">
        <v>27.431</v>
      </c>
      <c r="H29" s="24">
        <v>0</v>
      </c>
      <c r="I29" s="24">
        <f>G29*H29</f>
        <v>0</v>
      </c>
      <c r="K29" s="45"/>
      <c r="Z29" s="24">
        <f>IF(AQ29="5",BJ29,0)</f>
        <v>0</v>
      </c>
      <c r="AB29" s="24">
        <f>IF(AQ29="1",BH29,0)</f>
        <v>0</v>
      </c>
      <c r="AC29" s="24">
        <f>IF(AQ29="1",BI29,0)</f>
        <v>0</v>
      </c>
      <c r="AD29" s="24">
        <f>IF(AQ29="7",BH29,0)</f>
        <v>0</v>
      </c>
      <c r="AE29" s="24">
        <f>IF(AQ29="7",BI29,0)</f>
        <v>0</v>
      </c>
      <c r="AF29" s="24">
        <f>IF(AQ29="2",BH29,0)</f>
        <v>0</v>
      </c>
      <c r="AG29" s="24">
        <f>IF(AQ29="2",BI29,0)</f>
        <v>0</v>
      </c>
      <c r="AH29" s="24">
        <f>IF(AQ29="0",BJ29,0)</f>
        <v>0</v>
      </c>
      <c r="AI29" s="49" t="s">
        <v>96</v>
      </c>
      <c r="AJ29" s="24">
        <f>IF(AN29=0,I29,0)</f>
        <v>0</v>
      </c>
      <c r="AK29" s="24">
        <f>IF(AN29=12,I29,0)</f>
        <v>0</v>
      </c>
      <c r="AL29" s="24">
        <f>IF(AN29=21,I29,0)</f>
        <v>0</v>
      </c>
      <c r="AN29" s="24">
        <v>21</v>
      </c>
      <c r="AO29" s="24">
        <f>H29*0</f>
        <v>0</v>
      </c>
      <c r="AP29" s="24">
        <f>H29*(1-0)</f>
        <v>0</v>
      </c>
      <c r="AQ29" s="48" t="s">
        <v>75</v>
      </c>
      <c r="AV29" s="24">
        <f>AW29+AX29</f>
        <v>0</v>
      </c>
      <c r="AW29" s="24">
        <f>G29*AO29</f>
        <v>0</v>
      </c>
      <c r="AX29" s="24">
        <f>G29*AP29</f>
        <v>0</v>
      </c>
      <c r="AY29" s="48" t="s">
        <v>136</v>
      </c>
      <c r="AZ29" s="48" t="s">
        <v>47</v>
      </c>
      <c r="BA29" s="49" t="s">
        <v>103</v>
      </c>
      <c r="BC29" s="24">
        <f>AW29+AX29</f>
        <v>0</v>
      </c>
      <c r="BD29" s="24">
        <f>H29/(100-BE29)*100</f>
        <v>0</v>
      </c>
      <c r="BE29" s="24">
        <v>0</v>
      </c>
      <c r="BF29" s="24">
        <f>29</f>
        <v>29</v>
      </c>
      <c r="BH29" s="24">
        <f>G29*AO29</f>
        <v>0</v>
      </c>
      <c r="BI29" s="24">
        <f>G29*AP29</f>
        <v>0</v>
      </c>
      <c r="BJ29" s="24">
        <f>G29*H29</f>
        <v>0</v>
      </c>
      <c r="BK29" s="24"/>
      <c r="BL29" s="24">
        <v>91</v>
      </c>
      <c r="BW29" s="24">
        <v>21</v>
      </c>
    </row>
    <row r="30" spans="1:47" ht="15" customHeight="1">
      <c r="A30" s="39" t="s">
        <v>96</v>
      </c>
      <c r="B30" s="47" t="s">
        <v>96</v>
      </c>
      <c r="C30" s="47" t="s">
        <v>45</v>
      </c>
      <c r="D30" s="124" t="s">
        <v>62</v>
      </c>
      <c r="E30" s="125"/>
      <c r="F30" s="54" t="s">
        <v>125</v>
      </c>
      <c r="G30" s="54" t="s">
        <v>125</v>
      </c>
      <c r="H30" s="54" t="s">
        <v>125</v>
      </c>
      <c r="I30" s="4">
        <f>SUM(I31:I34)</f>
        <v>0</v>
      </c>
      <c r="K30" s="45"/>
      <c r="AI30" s="49" t="s">
        <v>96</v>
      </c>
      <c r="AS30" s="4">
        <f>SUM(AJ31:AJ34)</f>
        <v>0</v>
      </c>
      <c r="AT30" s="4">
        <f>SUM(AK31:AK34)</f>
        <v>0</v>
      </c>
      <c r="AU30" s="4">
        <f>SUM(AL31:AL34)</f>
        <v>0</v>
      </c>
    </row>
    <row r="31" spans="1:75" ht="13.5" customHeight="1">
      <c r="A31" s="1" t="s">
        <v>106</v>
      </c>
      <c r="B31" s="6" t="s">
        <v>96</v>
      </c>
      <c r="C31" s="6" t="s">
        <v>61</v>
      </c>
      <c r="D31" s="68" t="s">
        <v>154</v>
      </c>
      <c r="E31" s="64"/>
      <c r="F31" s="6" t="s">
        <v>65</v>
      </c>
      <c r="G31" s="24">
        <v>19.866</v>
      </c>
      <c r="H31" s="24">
        <v>0</v>
      </c>
      <c r="I31" s="24">
        <f>G31*H31</f>
        <v>0</v>
      </c>
      <c r="K31" s="45"/>
      <c r="Z31" s="24">
        <f>IF(AQ31="5",BJ31,0)</f>
        <v>0</v>
      </c>
      <c r="AB31" s="24">
        <f>IF(AQ31="1",BH31,0)</f>
        <v>0</v>
      </c>
      <c r="AC31" s="24">
        <f>IF(AQ31="1",BI31,0)</f>
        <v>0</v>
      </c>
      <c r="AD31" s="24">
        <f>IF(AQ31="7",BH31,0)</f>
        <v>0</v>
      </c>
      <c r="AE31" s="24">
        <f>IF(AQ31="7",BI31,0)</f>
        <v>0</v>
      </c>
      <c r="AF31" s="24">
        <f>IF(AQ31="2",BH31,0)</f>
        <v>0</v>
      </c>
      <c r="AG31" s="24">
        <f>IF(AQ31="2",BI31,0)</f>
        <v>0</v>
      </c>
      <c r="AH31" s="24">
        <f>IF(AQ31="0",BJ31,0)</f>
        <v>0</v>
      </c>
      <c r="AI31" s="49" t="s">
        <v>96</v>
      </c>
      <c r="AJ31" s="24">
        <f>IF(AN31=0,I31,0)</f>
        <v>0</v>
      </c>
      <c r="AK31" s="24">
        <f>IF(AN31=12,I31,0)</f>
        <v>0</v>
      </c>
      <c r="AL31" s="24">
        <f>IF(AN31=21,I31,0)</f>
        <v>0</v>
      </c>
      <c r="AN31" s="24">
        <v>21</v>
      </c>
      <c r="AO31" s="24">
        <f>H31*0</f>
        <v>0</v>
      </c>
      <c r="AP31" s="24">
        <f>H31*(1-0)</f>
        <v>0</v>
      </c>
      <c r="AQ31" s="48" t="s">
        <v>75</v>
      </c>
      <c r="AV31" s="24">
        <f>AW31+AX31</f>
        <v>0</v>
      </c>
      <c r="AW31" s="24">
        <f>G31*AO31</f>
        <v>0</v>
      </c>
      <c r="AX31" s="24">
        <f>G31*AP31</f>
        <v>0</v>
      </c>
      <c r="AY31" s="48" t="s">
        <v>60</v>
      </c>
      <c r="AZ31" s="48" t="s">
        <v>47</v>
      </c>
      <c r="BA31" s="49" t="s">
        <v>103</v>
      </c>
      <c r="BC31" s="24">
        <f>AW31+AX31</f>
        <v>0</v>
      </c>
      <c r="BD31" s="24">
        <f>H31/(100-BE31)*100</f>
        <v>0</v>
      </c>
      <c r="BE31" s="24">
        <v>0</v>
      </c>
      <c r="BF31" s="24">
        <f>31</f>
        <v>31</v>
      </c>
      <c r="BH31" s="24">
        <f>G31*AO31</f>
        <v>0</v>
      </c>
      <c r="BI31" s="24">
        <f>G31*AP31</f>
        <v>0</v>
      </c>
      <c r="BJ31" s="24">
        <f>G31*H31</f>
        <v>0</v>
      </c>
      <c r="BK31" s="24"/>
      <c r="BL31" s="24"/>
      <c r="BW31" s="24">
        <v>21</v>
      </c>
    </row>
    <row r="32" spans="1:75" ht="13.5" customHeight="1">
      <c r="A32" s="1" t="s">
        <v>54</v>
      </c>
      <c r="B32" s="6" t="s">
        <v>96</v>
      </c>
      <c r="C32" s="6" t="s">
        <v>67</v>
      </c>
      <c r="D32" s="68" t="s">
        <v>128</v>
      </c>
      <c r="E32" s="64"/>
      <c r="F32" s="6" t="s">
        <v>65</v>
      </c>
      <c r="G32" s="24">
        <v>39.732</v>
      </c>
      <c r="H32" s="24">
        <v>0</v>
      </c>
      <c r="I32" s="24">
        <f>G32*H32</f>
        <v>0</v>
      </c>
      <c r="K32" s="45"/>
      <c r="Z32" s="24">
        <f>IF(AQ32="5",BJ32,0)</f>
        <v>0</v>
      </c>
      <c r="AB32" s="24">
        <f>IF(AQ32="1",BH32,0)</f>
        <v>0</v>
      </c>
      <c r="AC32" s="24">
        <f>IF(AQ32="1",BI32,0)</f>
        <v>0</v>
      </c>
      <c r="AD32" s="24">
        <f>IF(AQ32="7",BH32,0)</f>
        <v>0</v>
      </c>
      <c r="AE32" s="24">
        <f>IF(AQ32="7",BI32,0)</f>
        <v>0</v>
      </c>
      <c r="AF32" s="24">
        <f>IF(AQ32="2",BH32,0)</f>
        <v>0</v>
      </c>
      <c r="AG32" s="24">
        <f>IF(AQ32="2",BI32,0)</f>
        <v>0</v>
      </c>
      <c r="AH32" s="24">
        <f>IF(AQ32="0",BJ32,0)</f>
        <v>0</v>
      </c>
      <c r="AI32" s="49" t="s">
        <v>96</v>
      </c>
      <c r="AJ32" s="24">
        <f>IF(AN32=0,I32,0)</f>
        <v>0</v>
      </c>
      <c r="AK32" s="24">
        <f>IF(AN32=12,I32,0)</f>
        <v>0</v>
      </c>
      <c r="AL32" s="24">
        <f>IF(AN32=21,I32,0)</f>
        <v>0</v>
      </c>
      <c r="AN32" s="24">
        <v>21</v>
      </c>
      <c r="AO32" s="24">
        <f>H32*0</f>
        <v>0</v>
      </c>
      <c r="AP32" s="24">
        <f>H32*(1-0)</f>
        <v>0</v>
      </c>
      <c r="AQ32" s="48" t="s">
        <v>75</v>
      </c>
      <c r="AV32" s="24">
        <f>AW32+AX32</f>
        <v>0</v>
      </c>
      <c r="AW32" s="24">
        <f>G32*AO32</f>
        <v>0</v>
      </c>
      <c r="AX32" s="24">
        <f>G32*AP32</f>
        <v>0</v>
      </c>
      <c r="AY32" s="48" t="s">
        <v>60</v>
      </c>
      <c r="AZ32" s="48" t="s">
        <v>47</v>
      </c>
      <c r="BA32" s="49" t="s">
        <v>103</v>
      </c>
      <c r="BC32" s="24">
        <f>AW32+AX32</f>
        <v>0</v>
      </c>
      <c r="BD32" s="24">
        <f>H32/(100-BE32)*100</f>
        <v>0</v>
      </c>
      <c r="BE32" s="24">
        <v>0</v>
      </c>
      <c r="BF32" s="24">
        <f>32</f>
        <v>32</v>
      </c>
      <c r="BH32" s="24">
        <f>G32*AO32</f>
        <v>0</v>
      </c>
      <c r="BI32" s="24">
        <f>G32*AP32</f>
        <v>0</v>
      </c>
      <c r="BJ32" s="24">
        <f>G32*H32</f>
        <v>0</v>
      </c>
      <c r="BK32" s="24"/>
      <c r="BL32" s="24"/>
      <c r="BW32" s="24">
        <v>21</v>
      </c>
    </row>
    <row r="33" spans="1:11" ht="15" customHeight="1">
      <c r="A33" s="50"/>
      <c r="D33" s="58" t="s">
        <v>159</v>
      </c>
      <c r="E33" s="58" t="s">
        <v>96</v>
      </c>
      <c r="G33" s="34">
        <v>39.732000000000006</v>
      </c>
      <c r="K33" s="45"/>
    </row>
    <row r="34" spans="1:75" ht="27" customHeight="1">
      <c r="A34" s="19" t="s">
        <v>79</v>
      </c>
      <c r="B34" s="9" t="s">
        <v>96</v>
      </c>
      <c r="C34" s="9" t="s">
        <v>34</v>
      </c>
      <c r="D34" s="126" t="s">
        <v>97</v>
      </c>
      <c r="E34" s="66"/>
      <c r="F34" s="9" t="s">
        <v>65</v>
      </c>
      <c r="G34" s="17">
        <v>19.866</v>
      </c>
      <c r="H34" s="17">
        <v>0</v>
      </c>
      <c r="I34" s="17">
        <f>G34*H34</f>
        <v>0</v>
      </c>
      <c r="J34" s="36"/>
      <c r="K34" s="33"/>
      <c r="Z34" s="24">
        <f>IF(AQ34="5",BJ34,0)</f>
        <v>0</v>
      </c>
      <c r="AB34" s="24">
        <f>IF(AQ34="1",BH34,0)</f>
        <v>0</v>
      </c>
      <c r="AC34" s="24">
        <f>IF(AQ34="1",BI34,0)</f>
        <v>0</v>
      </c>
      <c r="AD34" s="24">
        <f>IF(AQ34="7",BH34,0)</f>
        <v>0</v>
      </c>
      <c r="AE34" s="24">
        <f>IF(AQ34="7",BI34,0)</f>
        <v>0</v>
      </c>
      <c r="AF34" s="24">
        <f>IF(AQ34="2",BH34,0)</f>
        <v>0</v>
      </c>
      <c r="AG34" s="24">
        <f>IF(AQ34="2",BI34,0)</f>
        <v>0</v>
      </c>
      <c r="AH34" s="24">
        <f>IF(AQ34="0",BJ34,0)</f>
        <v>0</v>
      </c>
      <c r="AI34" s="49" t="s">
        <v>96</v>
      </c>
      <c r="AJ34" s="24">
        <f>IF(AN34=0,I34,0)</f>
        <v>0</v>
      </c>
      <c r="AK34" s="24">
        <f>IF(AN34=12,I34,0)</f>
        <v>0</v>
      </c>
      <c r="AL34" s="24">
        <f>IF(AN34=21,I34,0)</f>
        <v>0</v>
      </c>
      <c r="AN34" s="24">
        <v>21</v>
      </c>
      <c r="AO34" s="24">
        <f>H34*0</f>
        <v>0</v>
      </c>
      <c r="AP34" s="24">
        <f>H34*(1-0)</f>
        <v>0</v>
      </c>
      <c r="AQ34" s="48" t="s">
        <v>75</v>
      </c>
      <c r="AV34" s="24">
        <f>AW34+AX34</f>
        <v>0</v>
      </c>
      <c r="AW34" s="24">
        <f>G34*AO34</f>
        <v>0</v>
      </c>
      <c r="AX34" s="24">
        <f>G34*AP34</f>
        <v>0</v>
      </c>
      <c r="AY34" s="48" t="s">
        <v>60</v>
      </c>
      <c r="AZ34" s="48" t="s">
        <v>47</v>
      </c>
      <c r="BA34" s="49" t="s">
        <v>103</v>
      </c>
      <c r="BC34" s="24">
        <f>AW34+AX34</f>
        <v>0</v>
      </c>
      <c r="BD34" s="24">
        <f>H34/(100-BE34)*100</f>
        <v>0</v>
      </c>
      <c r="BE34" s="24">
        <v>0</v>
      </c>
      <c r="BF34" s="24">
        <f>34</f>
        <v>34</v>
      </c>
      <c r="BH34" s="24">
        <f>G34*AO34</f>
        <v>0</v>
      </c>
      <c r="BI34" s="24">
        <f>G34*AP34</f>
        <v>0</v>
      </c>
      <c r="BJ34" s="24">
        <f>G34*H34</f>
        <v>0</v>
      </c>
      <c r="BK34" s="24"/>
      <c r="BL34" s="24"/>
      <c r="BW34" s="24">
        <v>21</v>
      </c>
    </row>
    <row r="35" ht="15" customHeight="1">
      <c r="I35" s="22">
        <f>I12+I17+I22+I25+I30</f>
        <v>0</v>
      </c>
    </row>
    <row r="36" ht="15" customHeight="1">
      <c r="A36" s="18" t="s">
        <v>10</v>
      </c>
    </row>
    <row r="37" spans="1:11" ht="12.75" customHeight="1">
      <c r="A37" s="68" t="s">
        <v>96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</sheetData>
  <sheetProtection/>
  <mergeCells count="43">
    <mergeCell ref="D30:E30"/>
    <mergeCell ref="D31:E31"/>
    <mergeCell ref="D32:E32"/>
    <mergeCell ref="D34:E34"/>
    <mergeCell ref="A37:K37"/>
    <mergeCell ref="D21:E21"/>
    <mergeCell ref="D22:E22"/>
    <mergeCell ref="D23:E23"/>
    <mergeCell ref="D25:E25"/>
    <mergeCell ref="D26:E26"/>
    <mergeCell ref="D29:E29"/>
    <mergeCell ref="D11:E11"/>
    <mergeCell ref="D12:E12"/>
    <mergeCell ref="D13:E13"/>
    <mergeCell ref="D17:E17"/>
    <mergeCell ref="D18:E18"/>
    <mergeCell ref="D20:E20"/>
    <mergeCell ref="H8:H9"/>
    <mergeCell ref="J2:K3"/>
    <mergeCell ref="J4:K5"/>
    <mergeCell ref="J6:K7"/>
    <mergeCell ref="J8:K9"/>
    <mergeCell ref="D10:E10"/>
    <mergeCell ref="I4:I5"/>
    <mergeCell ref="I6:I7"/>
    <mergeCell ref="I8:I9"/>
    <mergeCell ref="D2:E3"/>
    <mergeCell ref="D4:E5"/>
    <mergeCell ref="D6:E7"/>
    <mergeCell ref="D8:E9"/>
    <mergeCell ref="H2:H3"/>
    <mergeCell ref="H4:H5"/>
    <mergeCell ref="H6:H7"/>
    <mergeCell ref="A1:K1"/>
    <mergeCell ref="A2:C3"/>
    <mergeCell ref="A4:C5"/>
    <mergeCell ref="A6:C7"/>
    <mergeCell ref="A8:C9"/>
    <mergeCell ref="F2:G3"/>
    <mergeCell ref="F4:G5"/>
    <mergeCell ref="F6:G7"/>
    <mergeCell ref="F8:G9"/>
    <mergeCell ref="I2:I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Charuza Pavel</cp:lastModifiedBy>
  <dcterms:created xsi:type="dcterms:W3CDTF">2021-06-10T20:06:38Z</dcterms:created>
  <dcterms:modified xsi:type="dcterms:W3CDTF">2024-04-12T05:50:15Z</dcterms:modified>
  <cp:category/>
  <cp:version/>
  <cp:contentType/>
  <cp:contentStatus/>
</cp:coreProperties>
</file>