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952" firstSheet="8"/>
  </bookViews>
  <sheets>
    <sheet name="Rekapitulácia stavby" sheetId="1" r:id="rId1"/>
    <sheet name="A- demontáž" sheetId="2" r:id="rId2"/>
    <sheet name="A- montáž " sheetId="3" r:id="rId3"/>
    <sheet name="B- demontáž" sheetId="4" r:id="rId4"/>
    <sheet name="B -montáž" sheetId="5" r:id="rId5"/>
    <sheet name="C atrium- demontáž" sheetId="6" r:id="rId6"/>
    <sheet name="C montáž" sheetId="7" r:id="rId7"/>
    <sheet name="C1- demontáž " sheetId="8" r:id="rId8"/>
    <sheet name="E-  montáž " sheetId="9" r:id="rId9"/>
    <sheet name="E- demontáž " sheetId="10" r:id="rId10"/>
    <sheet name="F- demontáž" sheetId="11" r:id="rId11"/>
    <sheet name="F montáž " sheetId="12" r:id="rId12"/>
    <sheet name="G- demontáž" sheetId="13" r:id="rId13"/>
    <sheet name="G montáž" sheetId="14" r:id="rId14"/>
    <sheet name="I- demontáž" sheetId="15" r:id="rId15"/>
    <sheet name="I montáž " sheetId="16" r:id="rId16"/>
    <sheet name="J- demontáž" sheetId="17" r:id="rId17"/>
    <sheet name="J montáž " sheetId="18" r:id="rId18"/>
    <sheet name="K- demontáž " sheetId="19" r:id="rId19"/>
    <sheet name="K montáž" sheetId="20" r:id="rId20"/>
    <sheet name="T- demontáž" sheetId="21" r:id="rId21"/>
    <sheet name="T montáž " sheetId="22" r:id="rId22"/>
  </sheets>
  <externalReferences>
    <externalReference r:id="rId23"/>
  </externalReferences>
  <definedNames>
    <definedName name="_xlnm.Print_Area" localSheetId="1">'A- demontáž'!$B$72:$J$141</definedName>
    <definedName name="_xlnm.Print_Area" localSheetId="2">'A- montáž '!$B$75:$J$159</definedName>
    <definedName name="_xlnm.Print_Area" localSheetId="3">'B- demontáž'!$B$72:$J$142</definedName>
    <definedName name="_xlnm.Print_Area" localSheetId="4">'B -montáž'!$B$75:$J$155</definedName>
    <definedName name="_xlnm.Print_Area" localSheetId="5">'C atrium- demontáž'!$B$72:$J$136</definedName>
    <definedName name="_xlnm.Print_Area" localSheetId="6">'C montáž'!$B$75:$J$153</definedName>
    <definedName name="_xlnm.Print_Area" localSheetId="7">'C1- demontáž '!$B$72:$J$139</definedName>
    <definedName name="_xlnm.Print_Area" localSheetId="8">'E-  montáž '!$B$75:$J$152</definedName>
    <definedName name="_xlnm.Print_Area" localSheetId="9">'E- demontáž '!$B$72:$J$150</definedName>
    <definedName name="_xlnm.Print_Area" localSheetId="10">'F- demontáž'!$B$72:$J$142</definedName>
    <definedName name="_xlnm.Print_Area" localSheetId="11">'F montáž '!$B$75:$J$151</definedName>
    <definedName name="_xlnm.Print_Area" localSheetId="12">'G- demontáž'!$B$72:$J$143</definedName>
    <definedName name="_xlnm.Print_Area" localSheetId="13">'G montáž'!$B$74:$J$135</definedName>
    <definedName name="_xlnm.Print_Area" localSheetId="14">'I- demontáž'!$B$72:$J$157</definedName>
    <definedName name="_xlnm.Print_Area" localSheetId="15">'I montáž '!$B$75:$J$155</definedName>
    <definedName name="_xlnm.Print_Area" localSheetId="16">'J- demontáž'!$B$72:$J$144</definedName>
    <definedName name="_xlnm.Print_Area" localSheetId="17">'J montáž '!$B$75:$J$149</definedName>
    <definedName name="_xlnm.Print_Area" localSheetId="18">'K- demontáž '!$B$72:$J$142</definedName>
    <definedName name="_xlnm.Print_Area" localSheetId="19">'K montáž'!$B$74:$J$134</definedName>
    <definedName name="_xlnm.Print_Area" localSheetId="0">'Rekapitulácia stavby'!$B$3:$AM$37,'Rekapitulácia stavby'!$B$41:$AM$76</definedName>
    <definedName name="_xlnm.Print_Area" localSheetId="20">'T- demontáž'!$B$72:$J$131</definedName>
    <definedName name="_xlnm.Print_Area" localSheetId="21">'T montáž '!$B$74:$J$142</definedName>
  </definedNames>
  <calcPr calcId="145621"/>
</workbook>
</file>

<file path=xl/calcChain.xml><?xml version="1.0" encoding="utf-8"?>
<calcChain xmlns="http://schemas.openxmlformats.org/spreadsheetml/2006/main">
  <c r="E7" i="22" l="1"/>
  <c r="E78" i="22" s="1"/>
  <c r="E7" i="21"/>
  <c r="E7" i="20"/>
  <c r="E78" i="20" s="1"/>
  <c r="E7" i="19"/>
  <c r="E7" i="18"/>
  <c r="E79" i="18" s="1"/>
  <c r="E7" i="17"/>
  <c r="E7" i="16"/>
  <c r="E79" i="16" s="1"/>
  <c r="E7" i="15"/>
  <c r="E7" i="14"/>
  <c r="E7" i="13"/>
  <c r="E7" i="12"/>
  <c r="E79" i="12" s="1"/>
  <c r="E7" i="11"/>
  <c r="E7" i="10"/>
  <c r="E76" i="10" s="1"/>
  <c r="E7" i="9"/>
  <c r="E7" i="8"/>
  <c r="E76" i="8" s="1"/>
  <c r="E7" i="7"/>
  <c r="E7" i="6"/>
  <c r="E76" i="6" s="1"/>
  <c r="E7" i="5"/>
  <c r="E7" i="4"/>
  <c r="E76" i="4" s="1"/>
  <c r="E7" i="3"/>
  <c r="E7" i="2"/>
  <c r="E76" i="2" s="1"/>
  <c r="BI141" i="22"/>
  <c r="BH141" i="22"/>
  <c r="BG141" i="22"/>
  <c r="BE141" i="22"/>
  <c r="H141" i="22"/>
  <c r="R141" i="22" s="1"/>
  <c r="H140" i="22"/>
  <c r="J140" i="22" s="1"/>
  <c r="BI139" i="22"/>
  <c r="BH139" i="22"/>
  <c r="BG139" i="22"/>
  <c r="BE139" i="22"/>
  <c r="H139" i="22"/>
  <c r="R139" i="22" s="1"/>
  <c r="BI138" i="22"/>
  <c r="BH138" i="22"/>
  <c r="BG138" i="22"/>
  <c r="BE138" i="22"/>
  <c r="H138" i="22"/>
  <c r="R138" i="22" s="1"/>
  <c r="R137" i="22" s="1"/>
  <c r="R136" i="22" s="1"/>
  <c r="BK134" i="22"/>
  <c r="BI134" i="22"/>
  <c r="BH134" i="22"/>
  <c r="BG134" i="22"/>
  <c r="BE134" i="22"/>
  <c r="T134" i="22"/>
  <c r="T133" i="22" s="1"/>
  <c r="T132" i="22" s="1"/>
  <c r="R134" i="22"/>
  <c r="P134" i="22"/>
  <c r="P133" i="22" s="1"/>
  <c r="P132" i="22" s="1"/>
  <c r="J134" i="22"/>
  <c r="BF134" i="22" s="1"/>
  <c r="BK133" i="22"/>
  <c r="BK132" i="22" s="1"/>
  <c r="J132" i="22" s="1"/>
  <c r="R133" i="22"/>
  <c r="R132" i="22" s="1"/>
  <c r="J133" i="22"/>
  <c r="J68" i="22" s="1"/>
  <c r="BI131" i="22"/>
  <c r="BH131" i="22"/>
  <c r="BG131" i="22"/>
  <c r="BE131" i="22"/>
  <c r="BI130" i="22"/>
  <c r="BH130" i="22"/>
  <c r="BG130" i="22"/>
  <c r="BE130" i="22"/>
  <c r="BI129" i="22"/>
  <c r="BH129" i="22"/>
  <c r="BG129" i="22"/>
  <c r="BE129" i="22"/>
  <c r="H129" i="22"/>
  <c r="R129" i="22" s="1"/>
  <c r="BI127" i="22"/>
  <c r="BH127" i="22"/>
  <c r="BG127" i="22"/>
  <c r="BE127" i="22"/>
  <c r="R127" i="22"/>
  <c r="H127" i="22"/>
  <c r="BI125" i="22"/>
  <c r="BH125" i="22"/>
  <c r="BG125" i="22"/>
  <c r="BE125" i="22"/>
  <c r="H125" i="22"/>
  <c r="R125" i="22" s="1"/>
  <c r="BI124" i="22"/>
  <c r="BH124" i="22"/>
  <c r="BG124" i="22"/>
  <c r="BE124" i="22"/>
  <c r="H124" i="22"/>
  <c r="BI122" i="22"/>
  <c r="BH122" i="22"/>
  <c r="BG122" i="22"/>
  <c r="BE122" i="22"/>
  <c r="BK121" i="22"/>
  <c r="BI121" i="22"/>
  <c r="BH121" i="22"/>
  <c r="BG121" i="22"/>
  <c r="BE121" i="22"/>
  <c r="T121" i="22"/>
  <c r="R121" i="22"/>
  <c r="P121" i="22"/>
  <c r="J121" i="22"/>
  <c r="BF121" i="22" s="1"/>
  <c r="BI120" i="22"/>
  <c r="BH120" i="22"/>
  <c r="BG120" i="22"/>
  <c r="BE120" i="22"/>
  <c r="BI119" i="22"/>
  <c r="BH119" i="22"/>
  <c r="BG119" i="22"/>
  <c r="BE119" i="22"/>
  <c r="H119" i="22"/>
  <c r="BK119" i="22" s="1"/>
  <c r="BI117" i="22"/>
  <c r="BH117" i="22"/>
  <c r="BG117" i="22"/>
  <c r="BE117" i="22"/>
  <c r="BK116" i="22"/>
  <c r="BI116" i="22"/>
  <c r="BH116" i="22"/>
  <c r="BG116" i="22"/>
  <c r="BE116" i="22"/>
  <c r="T116" i="22"/>
  <c r="R116" i="22"/>
  <c r="P116" i="22"/>
  <c r="J116" i="22"/>
  <c r="BF116" i="22" s="1"/>
  <c r="BK115" i="22"/>
  <c r="BI115" i="22"/>
  <c r="BH115" i="22"/>
  <c r="BG115" i="22"/>
  <c r="BE115" i="22"/>
  <c r="T115" i="22"/>
  <c r="R115" i="22"/>
  <c r="P115" i="22"/>
  <c r="J115" i="22"/>
  <c r="BF115" i="22" s="1"/>
  <c r="BK114" i="22"/>
  <c r="BI114" i="22"/>
  <c r="F37" i="22" s="1"/>
  <c r="BH114" i="22"/>
  <c r="BG114" i="22"/>
  <c r="BE114" i="22"/>
  <c r="T114" i="22"/>
  <c r="R114" i="22"/>
  <c r="P114" i="22"/>
  <c r="J114" i="22"/>
  <c r="BF114" i="22" s="1"/>
  <c r="BK113" i="22"/>
  <c r="BI113" i="22"/>
  <c r="BH113" i="22"/>
  <c r="BG113" i="22"/>
  <c r="BE113" i="22"/>
  <c r="T113" i="22"/>
  <c r="R113" i="22"/>
  <c r="P113" i="22"/>
  <c r="J113" i="22"/>
  <c r="BF113" i="22" s="1"/>
  <c r="BI112" i="22"/>
  <c r="BH112" i="22"/>
  <c r="BG112" i="22"/>
  <c r="BE112" i="22"/>
  <c r="J33" i="22" s="1"/>
  <c r="BI111" i="22"/>
  <c r="BH111" i="22"/>
  <c r="BG111" i="22"/>
  <c r="BE111" i="22"/>
  <c r="H110" i="22"/>
  <c r="H109" i="22" s="1"/>
  <c r="BI109" i="22"/>
  <c r="BH109" i="22"/>
  <c r="BG109" i="22"/>
  <c r="BE109" i="22"/>
  <c r="J109" i="22"/>
  <c r="BF109" i="22" s="1"/>
  <c r="BK108" i="22"/>
  <c r="BI108" i="22"/>
  <c r="BH108" i="22"/>
  <c r="BG108" i="22"/>
  <c r="BE108" i="22"/>
  <c r="T108" i="22"/>
  <c r="R108" i="22"/>
  <c r="P108" i="22"/>
  <c r="J108" i="22"/>
  <c r="BF108" i="22" s="1"/>
  <c r="BK107" i="22"/>
  <c r="BI107" i="22"/>
  <c r="BH107" i="22"/>
  <c r="BG107" i="22"/>
  <c r="BE107" i="22"/>
  <c r="T107" i="22"/>
  <c r="R107" i="22"/>
  <c r="P107" i="22"/>
  <c r="J107" i="22"/>
  <c r="BF107" i="22" s="1"/>
  <c r="BK105" i="22"/>
  <c r="BI105" i="22"/>
  <c r="BH105" i="22"/>
  <c r="BG105" i="22"/>
  <c r="BE105" i="22"/>
  <c r="T105" i="22"/>
  <c r="R105" i="22"/>
  <c r="P105" i="22"/>
  <c r="J105" i="22"/>
  <c r="BF105" i="22" s="1"/>
  <c r="H104" i="22"/>
  <c r="BI103" i="22"/>
  <c r="BH103" i="22"/>
  <c r="BG103" i="22"/>
  <c r="BE103" i="22"/>
  <c r="H103" i="22"/>
  <c r="BK103" i="22" s="1"/>
  <c r="BK102" i="22"/>
  <c r="BI102" i="22"/>
  <c r="BH102" i="22"/>
  <c r="BG102" i="22"/>
  <c r="BE102" i="22"/>
  <c r="T102" i="22"/>
  <c r="R102" i="22"/>
  <c r="P102" i="22"/>
  <c r="J102" i="22"/>
  <c r="BK99" i="22"/>
  <c r="BK98" i="22" s="1"/>
  <c r="J98" i="22" s="1"/>
  <c r="J62" i="22" s="1"/>
  <c r="BI99" i="22"/>
  <c r="BH99" i="22"/>
  <c r="BG99" i="22"/>
  <c r="BE99" i="22"/>
  <c r="T99" i="22"/>
  <c r="R99" i="22"/>
  <c r="P99" i="22"/>
  <c r="J99" i="22"/>
  <c r="BF99" i="22" s="1"/>
  <c r="T98" i="22"/>
  <c r="R98" i="22"/>
  <c r="P98" i="22"/>
  <c r="BI96" i="22"/>
  <c r="BH96" i="22"/>
  <c r="BG96" i="22"/>
  <c r="BE96" i="22"/>
  <c r="J96" i="22"/>
  <c r="BF96" i="22" s="1"/>
  <c r="H96" i="22"/>
  <c r="BK96" i="22" s="1"/>
  <c r="BK95" i="22"/>
  <c r="BI95" i="22"/>
  <c r="BH95" i="22"/>
  <c r="BG95" i="22"/>
  <c r="BE95" i="22"/>
  <c r="T95" i="22"/>
  <c r="R95" i="22"/>
  <c r="P95" i="22"/>
  <c r="J95" i="22"/>
  <c r="BF95" i="22" s="1"/>
  <c r="BI94" i="22"/>
  <c r="BH94" i="22"/>
  <c r="BG94" i="22"/>
  <c r="BE94" i="22"/>
  <c r="BI93" i="22"/>
  <c r="BH93" i="22"/>
  <c r="BG93" i="22"/>
  <c r="BE93" i="22"/>
  <c r="H93" i="22"/>
  <c r="BK93" i="22" s="1"/>
  <c r="BK91" i="22"/>
  <c r="BI91" i="22"/>
  <c r="BH91" i="22"/>
  <c r="BG91" i="22"/>
  <c r="F35" i="22" s="1"/>
  <c r="BE91" i="22"/>
  <c r="T91" i="22"/>
  <c r="R91" i="22"/>
  <c r="P91" i="22"/>
  <c r="J91" i="22"/>
  <c r="BF91" i="22" s="1"/>
  <c r="F82" i="22"/>
  <c r="F52" i="22"/>
  <c r="E50" i="22"/>
  <c r="J37" i="22"/>
  <c r="J36" i="22"/>
  <c r="J35" i="22"/>
  <c r="J24" i="22"/>
  <c r="E24" i="22"/>
  <c r="J85" i="22" s="1"/>
  <c r="J23" i="22"/>
  <c r="J21" i="22"/>
  <c r="E21" i="22"/>
  <c r="J84" i="22" s="1"/>
  <c r="J20" i="22"/>
  <c r="J18" i="22"/>
  <c r="E18" i="22"/>
  <c r="F55" i="22" s="1"/>
  <c r="J17" i="22"/>
  <c r="J15" i="22"/>
  <c r="E15" i="22"/>
  <c r="F54" i="22" s="1"/>
  <c r="J14" i="22"/>
  <c r="J12" i="22"/>
  <c r="J82" i="22" s="1"/>
  <c r="BJ129" i="21"/>
  <c r="BH129" i="21"/>
  <c r="BG129" i="21"/>
  <c r="BF129" i="21"/>
  <c r="BD129" i="21"/>
  <c r="T129" i="21"/>
  <c r="T127" i="21" s="1"/>
  <c r="R129" i="21"/>
  <c r="P129" i="21"/>
  <c r="J129" i="21"/>
  <c r="BE129" i="21" s="1"/>
  <c r="BJ128" i="21"/>
  <c r="BJ127" i="21" s="1"/>
  <c r="J127" i="21" s="1"/>
  <c r="J65" i="21" s="1"/>
  <c r="BH128" i="21"/>
  <c r="BG128" i="21"/>
  <c r="BF128" i="21"/>
  <c r="BD128" i="21"/>
  <c r="T128" i="21"/>
  <c r="R128" i="21"/>
  <c r="R127" i="21" s="1"/>
  <c r="P128" i="21"/>
  <c r="J128" i="21"/>
  <c r="BE128" i="21" s="1"/>
  <c r="P127" i="21"/>
  <c r="BH126" i="21"/>
  <c r="BG126" i="21"/>
  <c r="BF126" i="21"/>
  <c r="BD126" i="21"/>
  <c r="H126" i="21"/>
  <c r="BJ126" i="21" s="1"/>
  <c r="BJ125" i="21"/>
  <c r="BH125" i="21"/>
  <c r="BG125" i="21"/>
  <c r="BF125" i="21"/>
  <c r="BD125" i="21"/>
  <c r="T125" i="21"/>
  <c r="R125" i="21"/>
  <c r="P125" i="21"/>
  <c r="J125" i="21"/>
  <c r="BE125" i="21" s="1"/>
  <c r="BH124" i="21"/>
  <c r="BG124" i="21"/>
  <c r="BF124" i="21"/>
  <c r="BD124" i="21"/>
  <c r="H124" i="21"/>
  <c r="BH123" i="21"/>
  <c r="BG123" i="21"/>
  <c r="BF123" i="21"/>
  <c r="BD123" i="21"/>
  <c r="H123" i="21"/>
  <c r="BJ123" i="21" s="1"/>
  <c r="BJ122" i="21"/>
  <c r="BH122" i="21"/>
  <c r="BG122" i="21"/>
  <c r="F36" i="21" s="1"/>
  <c r="BF122" i="21"/>
  <c r="BD122" i="21"/>
  <c r="T122" i="21"/>
  <c r="R122" i="21"/>
  <c r="P122" i="21"/>
  <c r="J122" i="21"/>
  <c r="BE122" i="21" s="1"/>
  <c r="BJ121" i="21"/>
  <c r="BH121" i="21"/>
  <c r="BG121" i="21"/>
  <c r="BF121" i="21"/>
  <c r="BD121" i="21"/>
  <c r="T121" i="21"/>
  <c r="R121" i="21"/>
  <c r="P121" i="21"/>
  <c r="J121" i="21"/>
  <c r="BE121" i="21" s="1"/>
  <c r="BH120" i="21"/>
  <c r="BG120" i="21"/>
  <c r="BF120" i="21"/>
  <c r="F35" i="21" s="1"/>
  <c r="BD120" i="21"/>
  <c r="R120" i="21"/>
  <c r="H120" i="21"/>
  <c r="BH119" i="21"/>
  <c r="BG119" i="21"/>
  <c r="BF119" i="21"/>
  <c r="BD119" i="21"/>
  <c r="H119" i="21"/>
  <c r="BJ119" i="21" s="1"/>
  <c r="BJ115" i="21"/>
  <c r="BH115" i="21"/>
  <c r="BG115" i="21"/>
  <c r="BF115" i="21"/>
  <c r="BD115" i="21"/>
  <c r="T115" i="21"/>
  <c r="R115" i="21"/>
  <c r="P115" i="21"/>
  <c r="J115" i="21"/>
  <c r="BE115" i="21" s="1"/>
  <c r="BJ113" i="21"/>
  <c r="BH113" i="21"/>
  <c r="BG113" i="21"/>
  <c r="BF113" i="21"/>
  <c r="BD113" i="21"/>
  <c r="T113" i="21"/>
  <c r="R113" i="21"/>
  <c r="P113" i="21"/>
  <c r="J113" i="21"/>
  <c r="BE113" i="21" s="1"/>
  <c r="BJ111" i="21"/>
  <c r="BH111" i="21"/>
  <c r="BG111" i="21"/>
  <c r="BF111" i="21"/>
  <c r="BD111" i="21"/>
  <c r="T111" i="21"/>
  <c r="R111" i="21"/>
  <c r="P111" i="21"/>
  <c r="J111" i="21"/>
  <c r="BE111" i="21" s="1"/>
  <c r="BJ109" i="21"/>
  <c r="BH109" i="21"/>
  <c r="BG109" i="21"/>
  <c r="BF109" i="21"/>
  <c r="BD109" i="21"/>
  <c r="T109" i="21"/>
  <c r="R109" i="21"/>
  <c r="P109" i="21"/>
  <c r="J109" i="21"/>
  <c r="BE109" i="21" s="1"/>
  <c r="BJ107" i="21"/>
  <c r="BH107" i="21"/>
  <c r="BG107" i="21"/>
  <c r="BF107" i="21"/>
  <c r="BD107" i="21"/>
  <c r="T107" i="21"/>
  <c r="R107" i="21"/>
  <c r="P107" i="21"/>
  <c r="J107" i="21"/>
  <c r="BE107" i="21" s="1"/>
  <c r="BH105" i="21"/>
  <c r="BG105" i="21"/>
  <c r="BF105" i="21"/>
  <c r="BD105" i="21"/>
  <c r="BH103" i="21"/>
  <c r="BG103" i="21"/>
  <c r="BF103" i="21"/>
  <c r="BD103" i="21"/>
  <c r="BH101" i="21"/>
  <c r="BG101" i="21"/>
  <c r="BF101" i="21"/>
  <c r="BD101" i="21"/>
  <c r="BH99" i="21"/>
  <c r="BG99" i="21"/>
  <c r="BF99" i="21"/>
  <c r="BD99" i="21"/>
  <c r="BH98" i="21"/>
  <c r="BG98" i="21"/>
  <c r="BF98" i="21"/>
  <c r="BD98" i="21"/>
  <c r="BJ96" i="21"/>
  <c r="BH96" i="21"/>
  <c r="F37" i="21" s="1"/>
  <c r="BG96" i="21"/>
  <c r="BF96" i="21"/>
  <c r="BD96" i="21"/>
  <c r="T96" i="21"/>
  <c r="R96" i="21"/>
  <c r="P96" i="21"/>
  <c r="J96" i="21"/>
  <c r="BE96" i="21" s="1"/>
  <c r="J95" i="21"/>
  <c r="BH92" i="21"/>
  <c r="BG92" i="21"/>
  <c r="BF92" i="21"/>
  <c r="BD92" i="21"/>
  <c r="H92" i="21"/>
  <c r="R92" i="21" s="1"/>
  <c r="BJ90" i="21"/>
  <c r="BH90" i="21"/>
  <c r="BG90" i="21"/>
  <c r="BF90" i="21"/>
  <c r="BD90" i="21"/>
  <c r="T90" i="21"/>
  <c r="R90" i="21"/>
  <c r="P90" i="21"/>
  <c r="J90" i="21"/>
  <c r="BE90" i="21" s="1"/>
  <c r="BH89" i="21"/>
  <c r="BG89" i="21"/>
  <c r="BF89" i="21"/>
  <c r="BD89" i="21"/>
  <c r="H89" i="21"/>
  <c r="R89" i="21" s="1"/>
  <c r="F80" i="21"/>
  <c r="J66" i="21"/>
  <c r="F52" i="21"/>
  <c r="E50" i="21"/>
  <c r="J37" i="21"/>
  <c r="J36" i="21"/>
  <c r="J35" i="21"/>
  <c r="J24" i="21"/>
  <c r="E24" i="21"/>
  <c r="J55" i="21" s="1"/>
  <c r="J23" i="21"/>
  <c r="J21" i="21"/>
  <c r="E21" i="21"/>
  <c r="J54" i="21" s="1"/>
  <c r="J20" i="21"/>
  <c r="J18" i="21"/>
  <c r="E18" i="21"/>
  <c r="F83" i="21" s="1"/>
  <c r="J17" i="21"/>
  <c r="J15" i="21"/>
  <c r="E15" i="21"/>
  <c r="F82" i="21" s="1"/>
  <c r="J14" i="21"/>
  <c r="J12" i="21"/>
  <c r="J52" i="21" s="1"/>
  <c r="E76" i="21"/>
  <c r="BI133" i="20"/>
  <c r="BH133" i="20"/>
  <c r="BG133" i="20"/>
  <c r="BE133" i="20"/>
  <c r="H133" i="20"/>
  <c r="R133" i="20" s="1"/>
  <c r="BI131" i="20"/>
  <c r="BH131" i="20"/>
  <c r="BG131" i="20"/>
  <c r="BE131" i="20"/>
  <c r="H131" i="20"/>
  <c r="R131" i="20" s="1"/>
  <c r="BI130" i="20"/>
  <c r="BH130" i="20"/>
  <c r="BG130" i="20"/>
  <c r="BE130" i="20"/>
  <c r="H130" i="20"/>
  <c r="R130" i="20" s="1"/>
  <c r="R129" i="20" s="1"/>
  <c r="R128" i="20" s="1"/>
  <c r="BK126" i="20"/>
  <c r="BK125" i="20" s="1"/>
  <c r="BI126" i="20"/>
  <c r="BH126" i="20"/>
  <c r="BG126" i="20"/>
  <c r="BE126" i="20"/>
  <c r="T126" i="20"/>
  <c r="R126" i="20"/>
  <c r="R125" i="20" s="1"/>
  <c r="R124" i="20" s="1"/>
  <c r="P126" i="20"/>
  <c r="P125" i="20" s="1"/>
  <c r="P124" i="20" s="1"/>
  <c r="J126" i="20"/>
  <c r="BF126" i="20" s="1"/>
  <c r="T125" i="20"/>
  <c r="T124" i="20" s="1"/>
  <c r="BI123" i="20"/>
  <c r="BH123" i="20"/>
  <c r="BG123" i="20"/>
  <c r="BE123" i="20"/>
  <c r="BI122" i="20"/>
  <c r="BH122" i="20"/>
  <c r="BG122" i="20"/>
  <c r="BE122" i="20"/>
  <c r="BI121" i="20"/>
  <c r="BH121" i="20"/>
  <c r="BG121" i="20"/>
  <c r="BE121" i="20"/>
  <c r="H121" i="20"/>
  <c r="BI119" i="20"/>
  <c r="BH119" i="20"/>
  <c r="BG119" i="20"/>
  <c r="BE119" i="20"/>
  <c r="H119" i="20"/>
  <c r="BK119" i="20" s="1"/>
  <c r="BI118" i="20"/>
  <c r="BH118" i="20"/>
  <c r="BG118" i="20"/>
  <c r="BE118" i="20"/>
  <c r="R118" i="20"/>
  <c r="H118" i="20"/>
  <c r="BI116" i="20"/>
  <c r="BH116" i="20"/>
  <c r="BG116" i="20"/>
  <c r="BE116" i="20"/>
  <c r="BK115" i="20"/>
  <c r="BI115" i="20"/>
  <c r="BH115" i="20"/>
  <c r="BG115" i="20"/>
  <c r="BE115" i="20"/>
  <c r="T115" i="20"/>
  <c r="R115" i="20"/>
  <c r="P115" i="20"/>
  <c r="J115" i="20"/>
  <c r="BF115" i="20" s="1"/>
  <c r="BI114" i="20"/>
  <c r="BH114" i="20"/>
  <c r="BG114" i="20"/>
  <c r="BE114" i="20"/>
  <c r="BI113" i="20"/>
  <c r="BH113" i="20"/>
  <c r="BG113" i="20"/>
  <c r="BE113" i="20"/>
  <c r="H113" i="20"/>
  <c r="BI111" i="20"/>
  <c r="BH111" i="20"/>
  <c r="BG111" i="20"/>
  <c r="BE111" i="20"/>
  <c r="BK110" i="20"/>
  <c r="BI110" i="20"/>
  <c r="BH110" i="20"/>
  <c r="BG110" i="20"/>
  <c r="BE110" i="20"/>
  <c r="T110" i="20"/>
  <c r="R110" i="20"/>
  <c r="P110" i="20"/>
  <c r="J110" i="20"/>
  <c r="BF110" i="20" s="1"/>
  <c r="BK109" i="20"/>
  <c r="BI109" i="20"/>
  <c r="BH109" i="20"/>
  <c r="BG109" i="20"/>
  <c r="BE109" i="20"/>
  <c r="T109" i="20"/>
  <c r="R109" i="20"/>
  <c r="P109" i="20"/>
  <c r="J109" i="20"/>
  <c r="BF109" i="20" s="1"/>
  <c r="BI108" i="20"/>
  <c r="BH108" i="20"/>
  <c r="BG108" i="20"/>
  <c r="BE108" i="20"/>
  <c r="BI107" i="20"/>
  <c r="BH107" i="20"/>
  <c r="BG107" i="20"/>
  <c r="BE107" i="20"/>
  <c r="BI105" i="20"/>
  <c r="BH105" i="20"/>
  <c r="BG105" i="20"/>
  <c r="BE105" i="20"/>
  <c r="BI104" i="20"/>
  <c r="BH104" i="20"/>
  <c r="BG104" i="20"/>
  <c r="BE104" i="20"/>
  <c r="H104" i="20"/>
  <c r="BI103" i="20"/>
  <c r="BH103" i="20"/>
  <c r="BG103" i="20"/>
  <c r="BE103" i="20"/>
  <c r="R103" i="20"/>
  <c r="J103" i="20"/>
  <c r="BF103" i="20" s="1"/>
  <c r="H103" i="20"/>
  <c r="BK101" i="20"/>
  <c r="BI101" i="20"/>
  <c r="BH101" i="20"/>
  <c r="BG101" i="20"/>
  <c r="BE101" i="20"/>
  <c r="T101" i="20"/>
  <c r="R101" i="20"/>
  <c r="P101" i="20"/>
  <c r="J101" i="20"/>
  <c r="BF101" i="20" s="1"/>
  <c r="BI99" i="20"/>
  <c r="BH99" i="20"/>
  <c r="BG99" i="20"/>
  <c r="BE99" i="20"/>
  <c r="BI98" i="20"/>
  <c r="BH98" i="20"/>
  <c r="BG98" i="20"/>
  <c r="BE98" i="20"/>
  <c r="BK95" i="20"/>
  <c r="BK94" i="20" s="1"/>
  <c r="J94" i="20" s="1"/>
  <c r="J62" i="20" s="1"/>
  <c r="BI95" i="20"/>
  <c r="BH95" i="20"/>
  <c r="BG95" i="20"/>
  <c r="BE95" i="20"/>
  <c r="T95" i="20"/>
  <c r="R95" i="20"/>
  <c r="R94" i="20" s="1"/>
  <c r="P95" i="20"/>
  <c r="J95" i="20"/>
  <c r="BF95" i="20" s="1"/>
  <c r="T94" i="20"/>
  <c r="P94" i="20"/>
  <c r="BI92" i="20"/>
  <c r="BH92" i="20"/>
  <c r="BG92" i="20"/>
  <c r="BE92" i="20"/>
  <c r="H92" i="20"/>
  <c r="BK92" i="20" s="1"/>
  <c r="BK91" i="20"/>
  <c r="BI91" i="20"/>
  <c r="BH91" i="20"/>
  <c r="F36" i="20" s="1"/>
  <c r="BG91" i="20"/>
  <c r="BE91" i="20"/>
  <c r="T91" i="20"/>
  <c r="R91" i="20"/>
  <c r="P91" i="20"/>
  <c r="J91" i="20"/>
  <c r="BF91" i="20" s="1"/>
  <c r="F82" i="20"/>
  <c r="F52" i="20"/>
  <c r="E50" i="20"/>
  <c r="J37" i="20"/>
  <c r="J36" i="20"/>
  <c r="J35" i="20"/>
  <c r="J24" i="20"/>
  <c r="E24" i="20"/>
  <c r="J85" i="20" s="1"/>
  <c r="J23" i="20"/>
  <c r="J21" i="20"/>
  <c r="E21" i="20"/>
  <c r="J84" i="20" s="1"/>
  <c r="J20" i="20"/>
  <c r="J18" i="20"/>
  <c r="E18" i="20"/>
  <c r="F55" i="20" s="1"/>
  <c r="J17" i="20"/>
  <c r="J15" i="20"/>
  <c r="E15" i="20"/>
  <c r="F54" i="20" s="1"/>
  <c r="J14" i="20"/>
  <c r="J12" i="20"/>
  <c r="J82" i="20" s="1"/>
  <c r="J141" i="19"/>
  <c r="BK140" i="19"/>
  <c r="BI140" i="19"/>
  <c r="BH140" i="19"/>
  <c r="BG140" i="19"/>
  <c r="BF140" i="19"/>
  <c r="BE140" i="19"/>
  <c r="T140" i="19"/>
  <c r="R140" i="19"/>
  <c r="P140" i="19"/>
  <c r="J140" i="19"/>
  <c r="BK139" i="19"/>
  <c r="BI139" i="19"/>
  <c r="BH139" i="19"/>
  <c r="BG139" i="19"/>
  <c r="BF139" i="19"/>
  <c r="BE139" i="19"/>
  <c r="T139" i="19"/>
  <c r="R139" i="19"/>
  <c r="P139" i="19"/>
  <c r="J139" i="19"/>
  <c r="BK138" i="19"/>
  <c r="BK137" i="19" s="1"/>
  <c r="J137" i="19" s="1"/>
  <c r="J65" i="19" s="1"/>
  <c r="BI138" i="19"/>
  <c r="BH138" i="19"/>
  <c r="BG138" i="19"/>
  <c r="BF138" i="19"/>
  <c r="BE138" i="19"/>
  <c r="T138" i="19"/>
  <c r="R138" i="19"/>
  <c r="P138" i="19"/>
  <c r="P137" i="19" s="1"/>
  <c r="J138" i="19"/>
  <c r="R137" i="19"/>
  <c r="BK136" i="19"/>
  <c r="BI136" i="19"/>
  <c r="BH136" i="19"/>
  <c r="BG136" i="19"/>
  <c r="BE136" i="19"/>
  <c r="T136" i="19"/>
  <c r="R136" i="19"/>
  <c r="P136" i="19"/>
  <c r="J136" i="19"/>
  <c r="BF136" i="19" s="1"/>
  <c r="BI135" i="19"/>
  <c r="BH135" i="19"/>
  <c r="BG135" i="19"/>
  <c r="BE135" i="19"/>
  <c r="BI134" i="19"/>
  <c r="BH134" i="19"/>
  <c r="BG134" i="19"/>
  <c r="BE134" i="19"/>
  <c r="H134" i="19"/>
  <c r="BK134" i="19" s="1"/>
  <c r="H131" i="19"/>
  <c r="H133" i="19" s="1"/>
  <c r="H130" i="19" s="1"/>
  <c r="BI130" i="19"/>
  <c r="BH130" i="19"/>
  <c r="BG130" i="19"/>
  <c r="BE130" i="19"/>
  <c r="H129" i="19"/>
  <c r="BI128" i="19"/>
  <c r="BH128" i="19"/>
  <c r="BG128" i="19"/>
  <c r="BE128" i="19"/>
  <c r="H128" i="19"/>
  <c r="BK127" i="19"/>
  <c r="BI127" i="19"/>
  <c r="BH127" i="19"/>
  <c r="BG127" i="19"/>
  <c r="BE127" i="19"/>
  <c r="T127" i="19"/>
  <c r="R127" i="19"/>
  <c r="P127" i="19"/>
  <c r="J127" i="19"/>
  <c r="BF127" i="19" s="1"/>
  <c r="BK123" i="19"/>
  <c r="BI123" i="19"/>
  <c r="BH123" i="19"/>
  <c r="BG123" i="19"/>
  <c r="BE123" i="19"/>
  <c r="T123" i="19"/>
  <c r="R123" i="19"/>
  <c r="P123" i="19"/>
  <c r="J123" i="19"/>
  <c r="BF123" i="19" s="1"/>
  <c r="BK121" i="19"/>
  <c r="BI121" i="19"/>
  <c r="BH121" i="19"/>
  <c r="BG121" i="19"/>
  <c r="BE121" i="19"/>
  <c r="T121" i="19"/>
  <c r="R121" i="19"/>
  <c r="P121" i="19"/>
  <c r="J121" i="19"/>
  <c r="BF121" i="19" s="1"/>
  <c r="BI119" i="19"/>
  <c r="BH119" i="19"/>
  <c r="BG119" i="19"/>
  <c r="BE119" i="19"/>
  <c r="H119" i="19"/>
  <c r="BK119" i="19" s="1"/>
  <c r="BK117" i="19"/>
  <c r="BI117" i="19"/>
  <c r="BH117" i="19"/>
  <c r="BG117" i="19"/>
  <c r="BE117" i="19"/>
  <c r="T117" i="19"/>
  <c r="R117" i="19"/>
  <c r="P117" i="19"/>
  <c r="J117" i="19"/>
  <c r="BF117" i="19" s="1"/>
  <c r="BK115" i="19"/>
  <c r="BI115" i="19"/>
  <c r="BH115" i="19"/>
  <c r="BG115" i="19"/>
  <c r="BE115" i="19"/>
  <c r="T115" i="19"/>
  <c r="R115" i="19"/>
  <c r="P115" i="19"/>
  <c r="J115" i="19"/>
  <c r="BF115" i="19" s="1"/>
  <c r="BI113" i="19"/>
  <c r="BH113" i="19"/>
  <c r="BG113" i="19"/>
  <c r="BE113" i="19"/>
  <c r="BI111" i="19"/>
  <c r="BH111" i="19"/>
  <c r="BG111" i="19"/>
  <c r="BE111" i="19"/>
  <c r="BI109" i="19"/>
  <c r="BH109" i="19"/>
  <c r="BG109" i="19"/>
  <c r="BE109" i="19"/>
  <c r="BI107" i="19"/>
  <c r="BH107" i="19"/>
  <c r="BG107" i="19"/>
  <c r="BE107" i="19"/>
  <c r="BI105" i="19"/>
  <c r="BH105" i="19"/>
  <c r="BG105" i="19"/>
  <c r="BE105" i="19"/>
  <c r="BK103" i="19"/>
  <c r="BI103" i="19"/>
  <c r="BH103" i="19"/>
  <c r="BG103" i="19"/>
  <c r="BE103" i="19"/>
  <c r="T103" i="19"/>
  <c r="R103" i="19"/>
  <c r="P103" i="19"/>
  <c r="J103" i="19"/>
  <c r="BF103" i="19" s="1"/>
  <c r="BK101" i="19"/>
  <c r="BI101" i="19"/>
  <c r="BH101" i="19"/>
  <c r="BG101" i="19"/>
  <c r="BE101" i="19"/>
  <c r="T101" i="19"/>
  <c r="R101" i="19"/>
  <c r="P101" i="19"/>
  <c r="J101" i="19"/>
  <c r="BF101" i="19" s="1"/>
  <c r="BI99" i="19"/>
  <c r="BH99" i="19"/>
  <c r="BG99" i="19"/>
  <c r="BE99" i="19"/>
  <c r="H99" i="19"/>
  <c r="BK99" i="19" s="1"/>
  <c r="BK97" i="19"/>
  <c r="BI97" i="19"/>
  <c r="BH97" i="19"/>
  <c r="BG97" i="19"/>
  <c r="BE97" i="19"/>
  <c r="T97" i="19"/>
  <c r="R97" i="19"/>
  <c r="P97" i="19"/>
  <c r="J97" i="19"/>
  <c r="BF97" i="19" s="1"/>
  <c r="BK96" i="19"/>
  <c r="BI96" i="19"/>
  <c r="BH96" i="19"/>
  <c r="BG96" i="19"/>
  <c r="BE96" i="19"/>
  <c r="T96" i="19"/>
  <c r="R96" i="19"/>
  <c r="P96" i="19"/>
  <c r="J96" i="19"/>
  <c r="BF96" i="19" s="1"/>
  <c r="J95" i="19"/>
  <c r="J94" i="19"/>
  <c r="BK90" i="19"/>
  <c r="BI90" i="19"/>
  <c r="BH90" i="19"/>
  <c r="BG90" i="19"/>
  <c r="BE90" i="19"/>
  <c r="T90" i="19"/>
  <c r="R90" i="19"/>
  <c r="P90" i="19"/>
  <c r="J90" i="19"/>
  <c r="BF90" i="19" s="1"/>
  <c r="BI89" i="19"/>
  <c r="BH89" i="19"/>
  <c r="BG89" i="19"/>
  <c r="BE89" i="19"/>
  <c r="J33" i="19" s="1"/>
  <c r="H89" i="19"/>
  <c r="BK89" i="19" s="1"/>
  <c r="F80" i="19"/>
  <c r="J66" i="19"/>
  <c r="F52" i="19"/>
  <c r="E50" i="19"/>
  <c r="J37" i="19"/>
  <c r="J36" i="19"/>
  <c r="J35" i="19"/>
  <c r="J24" i="19"/>
  <c r="E24" i="19"/>
  <c r="J83" i="19" s="1"/>
  <c r="J23" i="19"/>
  <c r="J21" i="19"/>
  <c r="E21" i="19"/>
  <c r="J82" i="19" s="1"/>
  <c r="J20" i="19"/>
  <c r="J18" i="19"/>
  <c r="E18" i="19"/>
  <c r="F55" i="19" s="1"/>
  <c r="J17" i="19"/>
  <c r="J15" i="19"/>
  <c r="E15" i="19"/>
  <c r="F54" i="19" s="1"/>
  <c r="J14" i="19"/>
  <c r="J12" i="19"/>
  <c r="J80" i="19" s="1"/>
  <c r="E76" i="19"/>
  <c r="BI147" i="18"/>
  <c r="BH147" i="18"/>
  <c r="BG147" i="18"/>
  <c r="BE147" i="18"/>
  <c r="H147" i="18"/>
  <c r="R147" i="18" s="1"/>
  <c r="BI145" i="18"/>
  <c r="BH145" i="18"/>
  <c r="BG145" i="18"/>
  <c r="BE145" i="18"/>
  <c r="H145" i="18"/>
  <c r="R145" i="18" s="1"/>
  <c r="BI144" i="18"/>
  <c r="BH144" i="18"/>
  <c r="BG144" i="18"/>
  <c r="BE144" i="18"/>
  <c r="H144" i="18"/>
  <c r="R144" i="18" s="1"/>
  <c r="R143" i="18" s="1"/>
  <c r="R142" i="18" s="1"/>
  <c r="BK140" i="18"/>
  <c r="BI140" i="18"/>
  <c r="BH140" i="18"/>
  <c r="BG140" i="18"/>
  <c r="BE140" i="18"/>
  <c r="T140" i="18"/>
  <c r="T139" i="18" s="1"/>
  <c r="T138" i="18" s="1"/>
  <c r="R140" i="18"/>
  <c r="P140" i="18"/>
  <c r="P139" i="18" s="1"/>
  <c r="P138" i="18" s="1"/>
  <c r="J140" i="18"/>
  <c r="BK139" i="18"/>
  <c r="BK138" i="18" s="1"/>
  <c r="R139" i="18"/>
  <c r="R138" i="18" s="1"/>
  <c r="J137" i="18"/>
  <c r="H137" i="18"/>
  <c r="BK134" i="18"/>
  <c r="BI134" i="18"/>
  <c r="BH134" i="18"/>
  <c r="BG134" i="18"/>
  <c r="BE134" i="18"/>
  <c r="T134" i="18"/>
  <c r="R134" i="18"/>
  <c r="P134" i="18"/>
  <c r="J134" i="18"/>
  <c r="BF134" i="18" s="1"/>
  <c r="BK132" i="18"/>
  <c r="BI132" i="18"/>
  <c r="BH132" i="18"/>
  <c r="BG132" i="18"/>
  <c r="BE132" i="18"/>
  <c r="T132" i="18"/>
  <c r="R132" i="18"/>
  <c r="P132" i="18"/>
  <c r="J132" i="18"/>
  <c r="BF132" i="18" s="1"/>
  <c r="BK131" i="18"/>
  <c r="BI131" i="18"/>
  <c r="BH131" i="18"/>
  <c r="BG131" i="18"/>
  <c r="BE131" i="18"/>
  <c r="T131" i="18"/>
  <c r="R131" i="18"/>
  <c r="P131" i="18"/>
  <c r="J131" i="18"/>
  <c r="BF131" i="18" s="1"/>
  <c r="BK130" i="18"/>
  <c r="BI130" i="18"/>
  <c r="BH130" i="18"/>
  <c r="BG130" i="18"/>
  <c r="BE130" i="18"/>
  <c r="T130" i="18"/>
  <c r="R130" i="18"/>
  <c r="P130" i="18"/>
  <c r="J130" i="18"/>
  <c r="BF130" i="18" s="1"/>
  <c r="BK129" i="18"/>
  <c r="BI129" i="18"/>
  <c r="BH129" i="18"/>
  <c r="BG129" i="18"/>
  <c r="BE129" i="18"/>
  <c r="T129" i="18"/>
  <c r="R129" i="18"/>
  <c r="R128" i="18" s="1"/>
  <c r="P129" i="18"/>
  <c r="J129" i="18"/>
  <c r="T128" i="18"/>
  <c r="P128" i="18"/>
  <c r="BI127" i="18"/>
  <c r="BH127" i="18"/>
  <c r="BG127" i="18"/>
  <c r="BE127" i="18"/>
  <c r="BI126" i="18"/>
  <c r="BH126" i="18"/>
  <c r="BG126" i="18"/>
  <c r="BE126" i="18"/>
  <c r="H124" i="18"/>
  <c r="H123" i="18"/>
  <c r="BI122" i="18"/>
  <c r="BH122" i="18"/>
  <c r="BG122" i="18"/>
  <c r="BE122" i="18"/>
  <c r="BK121" i="18"/>
  <c r="BI121" i="18"/>
  <c r="BH121" i="18"/>
  <c r="BG121" i="18"/>
  <c r="BE121" i="18"/>
  <c r="T121" i="18"/>
  <c r="R121" i="18"/>
  <c r="P121" i="18"/>
  <c r="J121" i="18"/>
  <c r="BF121" i="18" s="1"/>
  <c r="BI120" i="18"/>
  <c r="BH120" i="18"/>
  <c r="BG120" i="18"/>
  <c r="BE120" i="18"/>
  <c r="H120" i="18"/>
  <c r="H126" i="18" s="1"/>
  <c r="BI118" i="18"/>
  <c r="BH118" i="18"/>
  <c r="BG118" i="18"/>
  <c r="BE118" i="18"/>
  <c r="BI117" i="18"/>
  <c r="BH117" i="18"/>
  <c r="BG117" i="18"/>
  <c r="BE117" i="18"/>
  <c r="BI116" i="18"/>
  <c r="BH116" i="18"/>
  <c r="BG116" i="18"/>
  <c r="BE116" i="18"/>
  <c r="H116" i="18"/>
  <c r="H117" i="18" s="1"/>
  <c r="BI114" i="18"/>
  <c r="BH114" i="18"/>
  <c r="BG114" i="18"/>
  <c r="BE114" i="18"/>
  <c r="H113" i="18"/>
  <c r="J112" i="18"/>
  <c r="BK111" i="18"/>
  <c r="BI111" i="18"/>
  <c r="BH111" i="18"/>
  <c r="BG111" i="18"/>
  <c r="BE111" i="18"/>
  <c r="T111" i="18"/>
  <c r="R111" i="18"/>
  <c r="P111" i="18"/>
  <c r="J111" i="18"/>
  <c r="BF111" i="18" s="1"/>
  <c r="BK110" i="18"/>
  <c r="BI110" i="18"/>
  <c r="BH110" i="18"/>
  <c r="BG110" i="18"/>
  <c r="BE110" i="18"/>
  <c r="T110" i="18"/>
  <c r="R110" i="18"/>
  <c r="P110" i="18"/>
  <c r="J110" i="18"/>
  <c r="BF110" i="18" s="1"/>
  <c r="BI109" i="18"/>
  <c r="BH109" i="18"/>
  <c r="BG109" i="18"/>
  <c r="BE109" i="18"/>
  <c r="BI108" i="18"/>
  <c r="BH108" i="18"/>
  <c r="BG108" i="18"/>
  <c r="BE108" i="18"/>
  <c r="BI106" i="18"/>
  <c r="BH106" i="18"/>
  <c r="BG106" i="18"/>
  <c r="BE106" i="18"/>
  <c r="BI105" i="18"/>
  <c r="BH105" i="18"/>
  <c r="BG105" i="18"/>
  <c r="BE105" i="18"/>
  <c r="H105" i="18"/>
  <c r="BI104" i="18"/>
  <c r="BH104" i="18"/>
  <c r="BG104" i="18"/>
  <c r="BE104" i="18"/>
  <c r="H104" i="18"/>
  <c r="BK102" i="18"/>
  <c r="BI102" i="18"/>
  <c r="BH102" i="18"/>
  <c r="BG102" i="18"/>
  <c r="BE102" i="18"/>
  <c r="T102" i="18"/>
  <c r="R102" i="18"/>
  <c r="P102" i="18"/>
  <c r="J102" i="18"/>
  <c r="BF102" i="18" s="1"/>
  <c r="BI100" i="18"/>
  <c r="BH100" i="18"/>
  <c r="BG100" i="18"/>
  <c r="BE100" i="18"/>
  <c r="BI99" i="18"/>
  <c r="BH99" i="18"/>
  <c r="F36" i="18" s="1"/>
  <c r="BG99" i="18"/>
  <c r="BE99" i="18"/>
  <c r="BK96" i="18"/>
  <c r="BK95" i="18" s="1"/>
  <c r="BI96" i="18"/>
  <c r="BH96" i="18"/>
  <c r="BG96" i="18"/>
  <c r="BF96" i="18"/>
  <c r="BE96" i="18"/>
  <c r="T96" i="18"/>
  <c r="T95" i="18" s="1"/>
  <c r="R96" i="18"/>
  <c r="P96" i="18"/>
  <c r="P95" i="18" s="1"/>
  <c r="J96" i="18"/>
  <c r="R95" i="18"/>
  <c r="J95" i="18"/>
  <c r="J62" i="18" s="1"/>
  <c r="BI93" i="18"/>
  <c r="BH93" i="18"/>
  <c r="BG93" i="18"/>
  <c r="BE93" i="18"/>
  <c r="J33" i="18" s="1"/>
  <c r="J93" i="18"/>
  <c r="H93" i="18"/>
  <c r="BK93" i="18" s="1"/>
  <c r="BK92" i="18"/>
  <c r="BI92" i="18"/>
  <c r="BH92" i="18"/>
  <c r="BG92" i="18"/>
  <c r="BF92" i="18"/>
  <c r="BE92" i="18"/>
  <c r="T92" i="18"/>
  <c r="R92" i="18"/>
  <c r="P92" i="18"/>
  <c r="J92" i="18"/>
  <c r="F83" i="18"/>
  <c r="F52" i="18"/>
  <c r="E50" i="18"/>
  <c r="J37" i="18"/>
  <c r="F37" i="18"/>
  <c r="J36" i="18"/>
  <c r="J35" i="18"/>
  <c r="F35" i="18"/>
  <c r="J24" i="18"/>
  <c r="E24" i="18"/>
  <c r="J86" i="18" s="1"/>
  <c r="J23" i="18"/>
  <c r="J21" i="18"/>
  <c r="E21" i="18"/>
  <c r="J85" i="18" s="1"/>
  <c r="J20" i="18"/>
  <c r="J18" i="18"/>
  <c r="E18" i="18"/>
  <c r="F86" i="18" s="1"/>
  <c r="J17" i="18"/>
  <c r="J15" i="18"/>
  <c r="E15" i="18"/>
  <c r="F85" i="18" s="1"/>
  <c r="J14" i="18"/>
  <c r="J12" i="18"/>
  <c r="J83" i="18" s="1"/>
  <c r="BK143" i="17"/>
  <c r="BI143" i="17"/>
  <c r="BH143" i="17"/>
  <c r="BG143" i="17"/>
  <c r="BE143" i="17"/>
  <c r="T143" i="17"/>
  <c r="T142" i="17" s="1"/>
  <c r="R143" i="17"/>
  <c r="P143" i="17"/>
  <c r="J143" i="17"/>
  <c r="BF143" i="17" s="1"/>
  <c r="BK142" i="17"/>
  <c r="J142" i="17" s="1"/>
  <c r="R142" i="17"/>
  <c r="P142" i="17"/>
  <c r="BK141" i="17"/>
  <c r="BI141" i="17"/>
  <c r="BH141" i="17"/>
  <c r="BG141" i="17"/>
  <c r="BE141" i="17"/>
  <c r="T141" i="17"/>
  <c r="R141" i="17"/>
  <c r="P141" i="17"/>
  <c r="J141" i="17"/>
  <c r="BF141" i="17" s="1"/>
  <c r="BK140" i="17"/>
  <c r="BI140" i="17"/>
  <c r="BH140" i="17"/>
  <c r="BG140" i="17"/>
  <c r="BE140" i="17"/>
  <c r="T140" i="17"/>
  <c r="R140" i="17"/>
  <c r="P140" i="17"/>
  <c r="J140" i="17"/>
  <c r="BF140" i="17" s="1"/>
  <c r="BK139" i="17"/>
  <c r="BI139" i="17"/>
  <c r="BH139" i="17"/>
  <c r="BG139" i="17"/>
  <c r="BE139" i="17"/>
  <c r="T139" i="17"/>
  <c r="R139" i="17"/>
  <c r="R137" i="17" s="1"/>
  <c r="P139" i="17"/>
  <c r="J139" i="17"/>
  <c r="BF139" i="17" s="1"/>
  <c r="BK138" i="17"/>
  <c r="BI138" i="17"/>
  <c r="BH138" i="17"/>
  <c r="BG138" i="17"/>
  <c r="BE138" i="17"/>
  <c r="T138" i="17"/>
  <c r="T137" i="17" s="1"/>
  <c r="R138" i="17"/>
  <c r="P138" i="17"/>
  <c r="J138" i="17"/>
  <c r="BF138" i="17" s="1"/>
  <c r="BK137" i="17"/>
  <c r="J137" i="17" s="1"/>
  <c r="J65" i="17" s="1"/>
  <c r="BI136" i="17"/>
  <c r="BH136" i="17"/>
  <c r="BG136" i="17"/>
  <c r="BE136" i="17"/>
  <c r="J134" i="17"/>
  <c r="BI133" i="17"/>
  <c r="BH133" i="17"/>
  <c r="BG133" i="17"/>
  <c r="BE133" i="17"/>
  <c r="BK132" i="17"/>
  <c r="BI132" i="17"/>
  <c r="BH132" i="17"/>
  <c r="BG132" i="17"/>
  <c r="BE132" i="17"/>
  <c r="T132" i="17"/>
  <c r="R132" i="17"/>
  <c r="P132" i="17"/>
  <c r="J132" i="17"/>
  <c r="BF132" i="17" s="1"/>
  <c r="H130" i="17"/>
  <c r="H131" i="17" s="1"/>
  <c r="H129" i="17" s="1"/>
  <c r="BK129" i="17" s="1"/>
  <c r="BI129" i="17"/>
  <c r="BH129" i="17"/>
  <c r="BG129" i="17"/>
  <c r="BE129" i="17"/>
  <c r="H128" i="17"/>
  <c r="BI127" i="17"/>
  <c r="BH127" i="17"/>
  <c r="BG127" i="17"/>
  <c r="BE127" i="17"/>
  <c r="J33" i="17" s="1"/>
  <c r="BK126" i="17"/>
  <c r="BI126" i="17"/>
  <c r="BH126" i="17"/>
  <c r="BG126" i="17"/>
  <c r="BE126" i="17"/>
  <c r="T126" i="17"/>
  <c r="R126" i="17"/>
  <c r="P126" i="17"/>
  <c r="J126" i="17"/>
  <c r="BF126" i="17" s="1"/>
  <c r="BK122" i="17"/>
  <c r="BI122" i="17"/>
  <c r="BH122" i="17"/>
  <c r="BG122" i="17"/>
  <c r="BE122" i="17"/>
  <c r="T122" i="17"/>
  <c r="R122" i="17"/>
  <c r="P122" i="17"/>
  <c r="J122" i="17"/>
  <c r="BF122" i="17" s="1"/>
  <c r="BK120" i="17"/>
  <c r="BI120" i="17"/>
  <c r="BH120" i="17"/>
  <c r="BG120" i="17"/>
  <c r="BE120" i="17"/>
  <c r="T120" i="17"/>
  <c r="R120" i="17"/>
  <c r="P120" i="17"/>
  <c r="J120" i="17"/>
  <c r="BF120" i="17" s="1"/>
  <c r="BI118" i="17"/>
  <c r="BH118" i="17"/>
  <c r="BG118" i="17"/>
  <c r="BE118" i="17"/>
  <c r="H118" i="17"/>
  <c r="R118" i="17" s="1"/>
  <c r="BK116" i="17"/>
  <c r="BI116" i="17"/>
  <c r="BH116" i="17"/>
  <c r="BG116" i="17"/>
  <c r="BE116" i="17"/>
  <c r="T116" i="17"/>
  <c r="R116" i="17"/>
  <c r="P116" i="17"/>
  <c r="J116" i="17"/>
  <c r="BF116" i="17" s="1"/>
  <c r="BK114" i="17"/>
  <c r="BI114" i="17"/>
  <c r="BH114" i="17"/>
  <c r="BG114" i="17"/>
  <c r="BE114" i="17"/>
  <c r="T114" i="17"/>
  <c r="R114" i="17"/>
  <c r="P114" i="17"/>
  <c r="J114" i="17"/>
  <c r="BF114" i="17" s="1"/>
  <c r="BI112" i="17"/>
  <c r="BH112" i="17"/>
  <c r="BG112" i="17"/>
  <c r="BE112" i="17"/>
  <c r="BI110" i="17"/>
  <c r="BH110" i="17"/>
  <c r="BG110" i="17"/>
  <c r="BE110" i="17"/>
  <c r="BI108" i="17"/>
  <c r="BH108" i="17"/>
  <c r="BG108" i="17"/>
  <c r="BE108" i="17"/>
  <c r="BI106" i="17"/>
  <c r="BH106" i="17"/>
  <c r="BG106" i="17"/>
  <c r="BE106" i="17"/>
  <c r="BI105" i="17"/>
  <c r="BH105" i="17"/>
  <c r="BG105" i="17"/>
  <c r="BE105" i="17"/>
  <c r="BK103" i="17"/>
  <c r="BI103" i="17"/>
  <c r="BH103" i="17"/>
  <c r="BG103" i="17"/>
  <c r="BE103" i="17"/>
  <c r="T103" i="17"/>
  <c r="R103" i="17"/>
  <c r="P103" i="17"/>
  <c r="J103" i="17"/>
  <c r="BF103" i="17" s="1"/>
  <c r="BK101" i="17"/>
  <c r="BI101" i="17"/>
  <c r="BH101" i="17"/>
  <c r="BG101" i="17"/>
  <c r="BE101" i="17"/>
  <c r="T101" i="17"/>
  <c r="R101" i="17"/>
  <c r="P101" i="17"/>
  <c r="J101" i="17"/>
  <c r="BF101" i="17" s="1"/>
  <c r="BI99" i="17"/>
  <c r="BH99" i="17"/>
  <c r="BG99" i="17"/>
  <c r="BE99" i="17"/>
  <c r="H99" i="17"/>
  <c r="R99" i="17" s="1"/>
  <c r="BK97" i="17"/>
  <c r="BI97" i="17"/>
  <c r="BH97" i="17"/>
  <c r="BG97" i="17"/>
  <c r="BE97" i="17"/>
  <c r="T97" i="17"/>
  <c r="R97" i="17"/>
  <c r="P97" i="17"/>
  <c r="J97" i="17"/>
  <c r="BF97" i="17" s="1"/>
  <c r="BK96" i="17"/>
  <c r="BI96" i="17"/>
  <c r="BH96" i="17"/>
  <c r="BG96" i="17"/>
  <c r="BE96" i="17"/>
  <c r="T96" i="17"/>
  <c r="R96" i="17"/>
  <c r="P96" i="17"/>
  <c r="J96" i="17"/>
  <c r="BF96" i="17" s="1"/>
  <c r="J95" i="17"/>
  <c r="J94" i="17"/>
  <c r="BK90" i="17"/>
  <c r="BI90" i="17"/>
  <c r="BH90" i="17"/>
  <c r="BG90" i="17"/>
  <c r="BE90" i="17"/>
  <c r="T90" i="17"/>
  <c r="R90" i="17"/>
  <c r="P90" i="17"/>
  <c r="J90" i="17"/>
  <c r="BF90" i="17" s="1"/>
  <c r="BI89" i="17"/>
  <c r="BH89" i="17"/>
  <c r="BG89" i="17"/>
  <c r="BE89" i="17"/>
  <c r="H89" i="17"/>
  <c r="H105" i="17" s="1"/>
  <c r="F80" i="17"/>
  <c r="J66" i="17"/>
  <c r="F52" i="17"/>
  <c r="E50" i="17"/>
  <c r="J37" i="17"/>
  <c r="J36" i="17"/>
  <c r="J35" i="17"/>
  <c r="J24" i="17"/>
  <c r="E24" i="17"/>
  <c r="J55" i="17" s="1"/>
  <c r="J23" i="17"/>
  <c r="J21" i="17"/>
  <c r="E21" i="17"/>
  <c r="J54" i="17" s="1"/>
  <c r="J20" i="17"/>
  <c r="J18" i="17"/>
  <c r="E18" i="17"/>
  <c r="F83" i="17" s="1"/>
  <c r="J17" i="17"/>
  <c r="J15" i="17"/>
  <c r="E15" i="17"/>
  <c r="F82" i="17" s="1"/>
  <c r="J14" i="17"/>
  <c r="J12" i="17"/>
  <c r="J52" i="17" s="1"/>
  <c r="E76" i="17"/>
  <c r="BI154" i="16"/>
  <c r="BH154" i="16"/>
  <c r="BG154" i="16"/>
  <c r="BE154" i="16"/>
  <c r="H154" i="16"/>
  <c r="R154" i="16" s="1"/>
  <c r="BI152" i="16"/>
  <c r="BH152" i="16"/>
  <c r="BG152" i="16"/>
  <c r="BE152" i="16"/>
  <c r="H152" i="16"/>
  <c r="R152" i="16" s="1"/>
  <c r="BI151" i="16"/>
  <c r="BH151" i="16"/>
  <c r="BG151" i="16"/>
  <c r="BE151" i="16"/>
  <c r="H151" i="16"/>
  <c r="R151" i="16" s="1"/>
  <c r="R150" i="16" s="1"/>
  <c r="R149" i="16" s="1"/>
  <c r="BK147" i="16"/>
  <c r="BK146" i="16" s="1"/>
  <c r="BK145" i="16" s="1"/>
  <c r="BI147" i="16"/>
  <c r="BH147" i="16"/>
  <c r="BG147" i="16"/>
  <c r="BE147" i="16"/>
  <c r="T147" i="16"/>
  <c r="R147" i="16"/>
  <c r="P147" i="16"/>
  <c r="J147" i="16"/>
  <c r="BF147" i="16" s="1"/>
  <c r="T146" i="16"/>
  <c r="T145" i="16" s="1"/>
  <c r="R146" i="16"/>
  <c r="P146" i="16"/>
  <c r="P145" i="16" s="1"/>
  <c r="R145" i="16"/>
  <c r="H144" i="16"/>
  <c r="J144" i="16" s="1"/>
  <c r="BK141" i="16"/>
  <c r="BI141" i="16"/>
  <c r="BH141" i="16"/>
  <c r="BG141" i="16"/>
  <c r="BE141" i="16"/>
  <c r="T141" i="16"/>
  <c r="R141" i="16"/>
  <c r="P141" i="16"/>
  <c r="J141" i="16"/>
  <c r="BF141" i="16" s="1"/>
  <c r="BK139" i="16"/>
  <c r="BI139" i="16"/>
  <c r="BH139" i="16"/>
  <c r="BG139" i="16"/>
  <c r="BE139" i="16"/>
  <c r="T139" i="16"/>
  <c r="R139" i="16"/>
  <c r="R137" i="16" s="1"/>
  <c r="P139" i="16"/>
  <c r="J139" i="16"/>
  <c r="BF139" i="16" s="1"/>
  <c r="BK138" i="16"/>
  <c r="BI138" i="16"/>
  <c r="BH138" i="16"/>
  <c r="BG138" i="16"/>
  <c r="BE138" i="16"/>
  <c r="T138" i="16"/>
  <c r="T137" i="16" s="1"/>
  <c r="R138" i="16"/>
  <c r="P138" i="16"/>
  <c r="P137" i="16" s="1"/>
  <c r="J138" i="16"/>
  <c r="BF138" i="16" s="1"/>
  <c r="BK137" i="16"/>
  <c r="BI136" i="16"/>
  <c r="BH136" i="16"/>
  <c r="BG136" i="16"/>
  <c r="BE136" i="16"/>
  <c r="BI135" i="16"/>
  <c r="BH135" i="16"/>
  <c r="BG135" i="16"/>
  <c r="BE135" i="16"/>
  <c r="BI134" i="16"/>
  <c r="BH134" i="16"/>
  <c r="BG134" i="16"/>
  <c r="BE134" i="16"/>
  <c r="H134" i="16"/>
  <c r="H132" i="16"/>
  <c r="H131" i="16"/>
  <c r="H130" i="16"/>
  <c r="H129" i="16"/>
  <c r="BI128" i="16"/>
  <c r="BH128" i="16"/>
  <c r="BG128" i="16"/>
  <c r="BE128" i="16"/>
  <c r="BK127" i="16"/>
  <c r="BI127" i="16"/>
  <c r="BH127" i="16"/>
  <c r="BG127" i="16"/>
  <c r="BE127" i="16"/>
  <c r="T127" i="16"/>
  <c r="R127" i="16"/>
  <c r="P127" i="16"/>
  <c r="J127" i="16"/>
  <c r="BF127" i="16" s="1"/>
  <c r="BI126" i="16"/>
  <c r="BH126" i="16"/>
  <c r="BG126" i="16"/>
  <c r="BE126" i="16"/>
  <c r="H126" i="16"/>
  <c r="H135" i="16" s="1"/>
  <c r="BI124" i="16"/>
  <c r="BH124" i="16"/>
  <c r="BG124" i="16"/>
  <c r="BE124" i="16"/>
  <c r="H122" i="16"/>
  <c r="H123" i="16" s="1"/>
  <c r="J123" i="16" s="1"/>
  <c r="BK121" i="16"/>
  <c r="BI121" i="16"/>
  <c r="BH121" i="16"/>
  <c r="BG121" i="16"/>
  <c r="BE121" i="16"/>
  <c r="T121" i="16"/>
  <c r="R121" i="16"/>
  <c r="P121" i="16"/>
  <c r="J121" i="16"/>
  <c r="BF121" i="16" s="1"/>
  <c r="BI120" i="16"/>
  <c r="BH120" i="16"/>
  <c r="BG120" i="16"/>
  <c r="BE120" i="16"/>
  <c r="BI119" i="16"/>
  <c r="BH119" i="16"/>
  <c r="BG119" i="16"/>
  <c r="BE119" i="16"/>
  <c r="H119" i="16"/>
  <c r="BK119" i="16" s="1"/>
  <c r="BI117" i="16"/>
  <c r="BH117" i="16"/>
  <c r="BG117" i="16"/>
  <c r="BE117" i="16"/>
  <c r="BK116" i="16"/>
  <c r="BI116" i="16"/>
  <c r="BH116" i="16"/>
  <c r="BG116" i="16"/>
  <c r="BE116" i="16"/>
  <c r="T116" i="16"/>
  <c r="R116" i="16"/>
  <c r="P116" i="16"/>
  <c r="J116" i="16"/>
  <c r="BF116" i="16" s="1"/>
  <c r="BK115" i="16"/>
  <c r="BI115" i="16"/>
  <c r="BH115" i="16"/>
  <c r="BG115" i="16"/>
  <c r="BE115" i="16"/>
  <c r="T115" i="16"/>
  <c r="R115" i="16"/>
  <c r="P115" i="16"/>
  <c r="J115" i="16"/>
  <c r="BF115" i="16" s="1"/>
  <c r="BI114" i="16"/>
  <c r="BH114" i="16"/>
  <c r="BG114" i="16"/>
  <c r="BE114" i="16"/>
  <c r="R114" i="16"/>
  <c r="H114" i="16"/>
  <c r="BK113" i="16"/>
  <c r="BI113" i="16"/>
  <c r="BH113" i="16"/>
  <c r="BG113" i="16"/>
  <c r="BE113" i="16"/>
  <c r="T113" i="16"/>
  <c r="R113" i="16"/>
  <c r="P113" i="16"/>
  <c r="J113" i="16"/>
  <c r="BF113" i="16" s="1"/>
  <c r="BI112" i="16"/>
  <c r="BH112" i="16"/>
  <c r="BG112" i="16"/>
  <c r="BE112" i="16"/>
  <c r="BI111" i="16"/>
  <c r="BH111" i="16"/>
  <c r="BG111" i="16"/>
  <c r="BE111" i="16"/>
  <c r="BI109" i="16"/>
  <c r="BH109" i="16"/>
  <c r="BG109" i="16"/>
  <c r="BE109" i="16"/>
  <c r="BI108" i="16"/>
  <c r="BH108" i="16"/>
  <c r="BG108" i="16"/>
  <c r="BE108" i="16"/>
  <c r="H108" i="16"/>
  <c r="BK108" i="16" s="1"/>
  <c r="BI107" i="16"/>
  <c r="BH107" i="16"/>
  <c r="BG107" i="16"/>
  <c r="BE107" i="16"/>
  <c r="R107" i="16"/>
  <c r="H107" i="16"/>
  <c r="BK105" i="16"/>
  <c r="BI105" i="16"/>
  <c r="BH105" i="16"/>
  <c r="BG105" i="16"/>
  <c r="BE105" i="16"/>
  <c r="T105" i="16"/>
  <c r="R105" i="16"/>
  <c r="P105" i="16"/>
  <c r="J105" i="16"/>
  <c r="BF105" i="16" s="1"/>
  <c r="BI103" i="16"/>
  <c r="BH103" i="16"/>
  <c r="BG103" i="16"/>
  <c r="BE103" i="16"/>
  <c r="BI102" i="16"/>
  <c r="BH102" i="16"/>
  <c r="BG102" i="16"/>
  <c r="BE102" i="16"/>
  <c r="BK99" i="16"/>
  <c r="BK98" i="16" s="1"/>
  <c r="BI99" i="16"/>
  <c r="BH99" i="16"/>
  <c r="BG99" i="16"/>
  <c r="BE99" i="16"/>
  <c r="T99" i="16"/>
  <c r="R99" i="16"/>
  <c r="R98" i="16" s="1"/>
  <c r="P99" i="16"/>
  <c r="J99" i="16"/>
  <c r="BF99" i="16" s="1"/>
  <c r="T98" i="16"/>
  <c r="P98" i="16"/>
  <c r="BI96" i="16"/>
  <c r="BH96" i="16"/>
  <c r="BG96" i="16"/>
  <c r="BE96" i="16"/>
  <c r="H96" i="16"/>
  <c r="BK96" i="16" s="1"/>
  <c r="J95" i="16"/>
  <c r="BI94" i="16"/>
  <c r="BH94" i="16"/>
  <c r="BG94" i="16"/>
  <c r="BE94" i="16"/>
  <c r="H94" i="16"/>
  <c r="BK94" i="16" s="1"/>
  <c r="BK93" i="16"/>
  <c r="BI93" i="16"/>
  <c r="BH93" i="16"/>
  <c r="BG93" i="16"/>
  <c r="BE93" i="16"/>
  <c r="T93" i="16"/>
  <c r="R93" i="16"/>
  <c r="P93" i="16"/>
  <c r="J93" i="16"/>
  <c r="BF93" i="16" s="1"/>
  <c r="BK92" i="16"/>
  <c r="BI92" i="16"/>
  <c r="BH92" i="16"/>
  <c r="BG92" i="16"/>
  <c r="BE92" i="16"/>
  <c r="J33" i="16" s="1"/>
  <c r="T92" i="16"/>
  <c r="R92" i="16"/>
  <c r="P92" i="16"/>
  <c r="J92" i="16"/>
  <c r="BF92" i="16" s="1"/>
  <c r="F83" i="16"/>
  <c r="F52" i="16"/>
  <c r="E50" i="16"/>
  <c r="J37" i="16"/>
  <c r="J36" i="16"/>
  <c r="J35" i="16"/>
  <c r="J24" i="16"/>
  <c r="E24" i="16"/>
  <c r="J86" i="16" s="1"/>
  <c r="J23" i="16"/>
  <c r="J21" i="16"/>
  <c r="E21" i="16"/>
  <c r="J85" i="16" s="1"/>
  <c r="J20" i="16"/>
  <c r="J18" i="16"/>
  <c r="E18" i="16"/>
  <c r="F86" i="16" s="1"/>
  <c r="J17" i="16"/>
  <c r="J15" i="16"/>
  <c r="E15" i="16"/>
  <c r="F85" i="16" s="1"/>
  <c r="J14" i="16"/>
  <c r="J12" i="16"/>
  <c r="J83" i="16" s="1"/>
  <c r="BK156" i="15"/>
  <c r="BK155" i="15" s="1"/>
  <c r="BI156" i="15"/>
  <c r="BH156" i="15"/>
  <c r="BG156" i="15"/>
  <c r="BF156" i="15"/>
  <c r="BE156" i="15"/>
  <c r="J156" i="15"/>
  <c r="J155" i="15" s="1"/>
  <c r="J66" i="15" s="1"/>
  <c r="BK154" i="15"/>
  <c r="BI154" i="15"/>
  <c r="BH154" i="15"/>
  <c r="BG154" i="15"/>
  <c r="BF154" i="15"/>
  <c r="BE154" i="15"/>
  <c r="J154" i="15"/>
  <c r="BK153" i="15"/>
  <c r="BI153" i="15"/>
  <c r="BH153" i="15"/>
  <c r="BG153" i="15"/>
  <c r="BF153" i="15"/>
  <c r="BE153" i="15"/>
  <c r="J153" i="15"/>
  <c r="BK152" i="15"/>
  <c r="BI152" i="15"/>
  <c r="BH152" i="15"/>
  <c r="BG152" i="15"/>
  <c r="BF152" i="15"/>
  <c r="BE152" i="15"/>
  <c r="J152" i="15"/>
  <c r="BK151" i="15"/>
  <c r="BK150" i="15" s="1"/>
  <c r="BI151" i="15"/>
  <c r="BH151" i="15"/>
  <c r="BG151" i="15"/>
  <c r="BF151" i="15"/>
  <c r="BE151" i="15"/>
  <c r="J151" i="15"/>
  <c r="BK149" i="15"/>
  <c r="BI149" i="15"/>
  <c r="BH149" i="15"/>
  <c r="BG149" i="15"/>
  <c r="BF149" i="15"/>
  <c r="BE149" i="15"/>
  <c r="J149" i="15"/>
  <c r="J148" i="15"/>
  <c r="J147" i="15"/>
  <c r="J146" i="15"/>
  <c r="J142" i="15"/>
  <c r="H142" i="15"/>
  <c r="BK141" i="15"/>
  <c r="BI141" i="15"/>
  <c r="BH141" i="15"/>
  <c r="BG141" i="15"/>
  <c r="BF141" i="15"/>
  <c r="BE141" i="15"/>
  <c r="J141" i="15"/>
  <c r="H141" i="15"/>
  <c r="H140" i="15"/>
  <c r="H138" i="15" s="1"/>
  <c r="H139" i="15"/>
  <c r="BI138" i="15"/>
  <c r="BH138" i="15"/>
  <c r="BG138" i="15"/>
  <c r="BF138" i="15"/>
  <c r="BE138" i="15"/>
  <c r="H137" i="15"/>
  <c r="BI136" i="15"/>
  <c r="BH136" i="15"/>
  <c r="BG136" i="15"/>
  <c r="BF136" i="15"/>
  <c r="BE136" i="15"/>
  <c r="H136" i="15"/>
  <c r="BK136" i="15" s="1"/>
  <c r="BK135" i="15"/>
  <c r="BI135" i="15"/>
  <c r="BH135" i="15"/>
  <c r="BG135" i="15"/>
  <c r="BF135" i="15"/>
  <c r="BE135" i="15"/>
  <c r="J135" i="15"/>
  <c r="BK134" i="15"/>
  <c r="BI134" i="15"/>
  <c r="BH134" i="15"/>
  <c r="BG134" i="15"/>
  <c r="BF134" i="15"/>
  <c r="BE134" i="15"/>
  <c r="J134" i="15"/>
  <c r="BK132" i="15"/>
  <c r="BI132" i="15"/>
  <c r="BH132" i="15"/>
  <c r="BG132" i="15"/>
  <c r="BF132" i="15"/>
  <c r="BE132" i="15"/>
  <c r="J132" i="15"/>
  <c r="BK128" i="15"/>
  <c r="BI128" i="15"/>
  <c r="BH128" i="15"/>
  <c r="BG128" i="15"/>
  <c r="BF128" i="15"/>
  <c r="BE128" i="15"/>
  <c r="J128" i="15"/>
  <c r="BK126" i="15"/>
  <c r="BI126" i="15"/>
  <c r="BH126" i="15"/>
  <c r="BG126" i="15"/>
  <c r="BF126" i="15"/>
  <c r="BE126" i="15"/>
  <c r="J126" i="15"/>
  <c r="BI124" i="15"/>
  <c r="BH124" i="15"/>
  <c r="BG124" i="15"/>
  <c r="BF124" i="15"/>
  <c r="BE124" i="15"/>
  <c r="H124" i="15"/>
  <c r="BK122" i="15"/>
  <c r="BI122" i="15"/>
  <c r="BH122" i="15"/>
  <c r="BG122" i="15"/>
  <c r="BF122" i="15"/>
  <c r="BE122" i="15"/>
  <c r="J122" i="15"/>
  <c r="BK121" i="15"/>
  <c r="BI121" i="15"/>
  <c r="BH121" i="15"/>
  <c r="BG121" i="15"/>
  <c r="BF121" i="15"/>
  <c r="BE121" i="15"/>
  <c r="J121" i="15"/>
  <c r="BI119" i="15"/>
  <c r="BH119" i="15"/>
  <c r="BG119" i="15"/>
  <c r="BF119" i="15"/>
  <c r="BE119" i="15"/>
  <c r="BI117" i="15"/>
  <c r="BH117" i="15"/>
  <c r="BG117" i="15"/>
  <c r="BF117" i="15"/>
  <c r="BE117" i="15"/>
  <c r="BI115" i="15"/>
  <c r="BH115" i="15"/>
  <c r="BG115" i="15"/>
  <c r="BF115" i="15"/>
  <c r="BE115" i="15"/>
  <c r="BI113" i="15"/>
  <c r="BH113" i="15"/>
  <c r="BG113" i="15"/>
  <c r="BF113" i="15"/>
  <c r="BE113" i="15"/>
  <c r="BI112" i="15"/>
  <c r="BH112" i="15"/>
  <c r="BG112" i="15"/>
  <c r="BF112" i="15"/>
  <c r="BE112" i="15"/>
  <c r="H112" i="15"/>
  <c r="BK110" i="15"/>
  <c r="BI110" i="15"/>
  <c r="BH110" i="15"/>
  <c r="BG110" i="15"/>
  <c r="BF110" i="15"/>
  <c r="BE110" i="15"/>
  <c r="J110" i="15"/>
  <c r="BK108" i="15"/>
  <c r="BI108" i="15"/>
  <c r="BH108" i="15"/>
  <c r="BG108" i="15"/>
  <c r="BF108" i="15"/>
  <c r="BE108" i="15"/>
  <c r="J108" i="15"/>
  <c r="BI106" i="15"/>
  <c r="BH106" i="15"/>
  <c r="BG106" i="15"/>
  <c r="BF106" i="15"/>
  <c r="BE106" i="15"/>
  <c r="H106" i="15"/>
  <c r="BK104" i="15"/>
  <c r="BI104" i="15"/>
  <c r="BH104" i="15"/>
  <c r="BG104" i="15"/>
  <c r="BF104" i="15"/>
  <c r="BE104" i="15"/>
  <c r="J104" i="15"/>
  <c r="BK103" i="15"/>
  <c r="BI103" i="15"/>
  <c r="BH103" i="15"/>
  <c r="BG103" i="15"/>
  <c r="BF103" i="15"/>
  <c r="BE103" i="15"/>
  <c r="J103" i="15"/>
  <c r="BI102" i="15"/>
  <c r="BH102" i="15"/>
  <c r="BG102" i="15"/>
  <c r="BF102" i="15"/>
  <c r="F34" i="15" s="1"/>
  <c r="BE102" i="15"/>
  <c r="BI101" i="15"/>
  <c r="BH101" i="15"/>
  <c r="BG101" i="15"/>
  <c r="BF101" i="15"/>
  <c r="BE101" i="15"/>
  <c r="BI100" i="15"/>
  <c r="BH100" i="15"/>
  <c r="F36" i="15" s="1"/>
  <c r="BG100" i="15"/>
  <c r="BF100" i="15"/>
  <c r="BE100" i="15"/>
  <c r="BI99" i="15"/>
  <c r="BH99" i="15"/>
  <c r="BG99" i="15"/>
  <c r="BF99" i="15"/>
  <c r="BE99" i="15"/>
  <c r="BI98" i="15"/>
  <c r="BH98" i="15"/>
  <c r="BG98" i="15"/>
  <c r="BF98" i="15"/>
  <c r="BE98" i="15"/>
  <c r="H98" i="15"/>
  <c r="J97" i="15"/>
  <c r="J96" i="15"/>
  <c r="BI94" i="15"/>
  <c r="BH94" i="15"/>
  <c r="BG94" i="15"/>
  <c r="BF94" i="15"/>
  <c r="BE94" i="15"/>
  <c r="H94" i="15"/>
  <c r="BK93" i="15"/>
  <c r="BI93" i="15"/>
  <c r="BH93" i="15"/>
  <c r="BG93" i="15"/>
  <c r="BF93" i="15"/>
  <c r="BE93" i="15"/>
  <c r="J93" i="15"/>
  <c r="J92" i="15"/>
  <c r="BK90" i="15"/>
  <c r="BI90" i="15"/>
  <c r="BH90" i="15"/>
  <c r="BG90" i="15"/>
  <c r="BF90" i="15"/>
  <c r="BE90" i="15"/>
  <c r="J90" i="15"/>
  <c r="BI89" i="15"/>
  <c r="BH89" i="15"/>
  <c r="BG89" i="15"/>
  <c r="F35" i="15" s="1"/>
  <c r="BF89" i="15"/>
  <c r="BE89" i="15"/>
  <c r="H89" i="15"/>
  <c r="BK89" i="15" s="1"/>
  <c r="BK88" i="15" s="1"/>
  <c r="F80" i="15"/>
  <c r="F52" i="15"/>
  <c r="E50" i="15"/>
  <c r="J37" i="15"/>
  <c r="J36" i="15"/>
  <c r="J35" i="15"/>
  <c r="J24" i="15"/>
  <c r="E24" i="15"/>
  <c r="J83" i="15" s="1"/>
  <c r="J23" i="15"/>
  <c r="J21" i="15"/>
  <c r="E21" i="15"/>
  <c r="J54" i="15" s="1"/>
  <c r="J20" i="15"/>
  <c r="J18" i="15"/>
  <c r="E18" i="15"/>
  <c r="F83" i="15" s="1"/>
  <c r="J17" i="15"/>
  <c r="J15" i="15"/>
  <c r="E15" i="15"/>
  <c r="F82" i="15" s="1"/>
  <c r="J14" i="15"/>
  <c r="J12" i="15"/>
  <c r="J52" i="15" s="1"/>
  <c r="E76" i="15"/>
  <c r="BI133" i="14"/>
  <c r="BH133" i="14"/>
  <c r="BG133" i="14"/>
  <c r="BE133" i="14"/>
  <c r="H133" i="14"/>
  <c r="R133" i="14" s="1"/>
  <c r="BI131" i="14"/>
  <c r="BH131" i="14"/>
  <c r="BG131" i="14"/>
  <c r="BE131" i="14"/>
  <c r="H131" i="14"/>
  <c r="R131" i="14" s="1"/>
  <c r="BI130" i="14"/>
  <c r="BH130" i="14"/>
  <c r="BG130" i="14"/>
  <c r="BE130" i="14"/>
  <c r="H130" i="14"/>
  <c r="R130" i="14" s="1"/>
  <c r="R129" i="14" s="1"/>
  <c r="R128" i="14" s="1"/>
  <c r="BK126" i="14"/>
  <c r="BI126" i="14"/>
  <c r="BH126" i="14"/>
  <c r="BG126" i="14"/>
  <c r="BE126" i="14"/>
  <c r="T126" i="14"/>
  <c r="T125" i="14" s="1"/>
  <c r="T124" i="14" s="1"/>
  <c r="R126" i="14"/>
  <c r="P126" i="14"/>
  <c r="P125" i="14" s="1"/>
  <c r="P124" i="14" s="1"/>
  <c r="J126" i="14"/>
  <c r="BK125" i="14"/>
  <c r="BK124" i="14" s="1"/>
  <c r="R125" i="14"/>
  <c r="R124" i="14" s="1"/>
  <c r="J123" i="14"/>
  <c r="H123" i="14"/>
  <c r="BK121" i="14"/>
  <c r="BI121" i="14"/>
  <c r="BH121" i="14"/>
  <c r="BG121" i="14"/>
  <c r="BE121" i="14"/>
  <c r="T121" i="14"/>
  <c r="R121" i="14"/>
  <c r="P121" i="14"/>
  <c r="J121" i="14"/>
  <c r="BF121" i="14" s="1"/>
  <c r="BI119" i="14"/>
  <c r="BH119" i="14"/>
  <c r="BG119" i="14"/>
  <c r="BE119" i="14"/>
  <c r="BI117" i="14"/>
  <c r="BH117" i="14"/>
  <c r="BG117" i="14"/>
  <c r="BE117" i="14"/>
  <c r="H117" i="14"/>
  <c r="R117" i="14" s="1"/>
  <c r="BK116" i="14"/>
  <c r="BI116" i="14"/>
  <c r="BH116" i="14"/>
  <c r="BG116" i="14"/>
  <c r="BE116" i="14"/>
  <c r="T116" i="14"/>
  <c r="R116" i="14"/>
  <c r="P116" i="14"/>
  <c r="J116" i="14"/>
  <c r="BI114" i="14"/>
  <c r="BH114" i="14"/>
  <c r="BG114" i="14"/>
  <c r="BE114" i="14"/>
  <c r="BI113" i="14"/>
  <c r="BH113" i="14"/>
  <c r="BG113" i="14"/>
  <c r="BE113" i="14"/>
  <c r="BI112" i="14"/>
  <c r="BH112" i="14"/>
  <c r="BG112" i="14"/>
  <c r="BE112" i="14"/>
  <c r="H112" i="14"/>
  <c r="H113" i="14" s="1"/>
  <c r="BI110" i="14"/>
  <c r="BH110" i="14"/>
  <c r="BG110" i="14"/>
  <c r="BE110" i="14"/>
  <c r="BK109" i="14"/>
  <c r="BI109" i="14"/>
  <c r="BH109" i="14"/>
  <c r="BG109" i="14"/>
  <c r="BE109" i="14"/>
  <c r="T109" i="14"/>
  <c r="R109" i="14"/>
  <c r="P109" i="14"/>
  <c r="J109" i="14"/>
  <c r="BF109" i="14" s="1"/>
  <c r="BK108" i="14"/>
  <c r="BI108" i="14"/>
  <c r="BH108" i="14"/>
  <c r="BG108" i="14"/>
  <c r="BE108" i="14"/>
  <c r="T108" i="14"/>
  <c r="R108" i="14"/>
  <c r="P108" i="14"/>
  <c r="J108" i="14"/>
  <c r="BF108" i="14" s="1"/>
  <c r="BI107" i="14"/>
  <c r="BH107" i="14"/>
  <c r="BG107" i="14"/>
  <c r="BE107" i="14"/>
  <c r="H107" i="14"/>
  <c r="BI106" i="14"/>
  <c r="BH106" i="14"/>
  <c r="BG106" i="14"/>
  <c r="BE106" i="14"/>
  <c r="BI104" i="14"/>
  <c r="BH104" i="14"/>
  <c r="BG104" i="14"/>
  <c r="BE104" i="14"/>
  <c r="BI103" i="14"/>
  <c r="BH103" i="14"/>
  <c r="F36" i="14" s="1"/>
  <c r="BG103" i="14"/>
  <c r="BE103" i="14"/>
  <c r="F33" i="14" s="1"/>
  <c r="R103" i="14"/>
  <c r="J103" i="14"/>
  <c r="BF103" i="14" s="1"/>
  <c r="H103" i="14"/>
  <c r="BK103" i="14" s="1"/>
  <c r="BI102" i="14"/>
  <c r="BH102" i="14"/>
  <c r="BG102" i="14"/>
  <c r="BE102" i="14"/>
  <c r="H102" i="14"/>
  <c r="H105" i="14" s="1"/>
  <c r="H104" i="14" s="1"/>
  <c r="BK100" i="14"/>
  <c r="BI100" i="14"/>
  <c r="BH100" i="14"/>
  <c r="BG100" i="14"/>
  <c r="BE100" i="14"/>
  <c r="T100" i="14"/>
  <c r="R100" i="14"/>
  <c r="P100" i="14"/>
  <c r="J100" i="14"/>
  <c r="BF100" i="14" s="1"/>
  <c r="BI98" i="14"/>
  <c r="BH98" i="14"/>
  <c r="BG98" i="14"/>
  <c r="BE98" i="14"/>
  <c r="BI97" i="14"/>
  <c r="BH97" i="14"/>
  <c r="BG97" i="14"/>
  <c r="BE97" i="14"/>
  <c r="BK94" i="14"/>
  <c r="BI94" i="14"/>
  <c r="BH94" i="14"/>
  <c r="BG94" i="14"/>
  <c r="BE94" i="14"/>
  <c r="T94" i="14"/>
  <c r="T93" i="14" s="1"/>
  <c r="R94" i="14"/>
  <c r="R93" i="14" s="1"/>
  <c r="P94" i="14"/>
  <c r="P93" i="14" s="1"/>
  <c r="J94" i="14"/>
  <c r="BF94" i="14" s="1"/>
  <c r="BK93" i="14"/>
  <c r="J93" i="14" s="1"/>
  <c r="J62" i="14" s="1"/>
  <c r="BI91" i="14"/>
  <c r="BH91" i="14"/>
  <c r="BG91" i="14"/>
  <c r="F35" i="14" s="1"/>
  <c r="BE91" i="14"/>
  <c r="F82" i="14"/>
  <c r="F52" i="14"/>
  <c r="E50" i="14"/>
  <c r="J37" i="14"/>
  <c r="J36" i="14"/>
  <c r="J35" i="14"/>
  <c r="J24" i="14"/>
  <c r="E24" i="14"/>
  <c r="J55" i="14" s="1"/>
  <c r="J23" i="14"/>
  <c r="J21" i="14"/>
  <c r="E21" i="14"/>
  <c r="J54" i="14" s="1"/>
  <c r="J20" i="14"/>
  <c r="J18" i="14"/>
  <c r="E18" i="14"/>
  <c r="F85" i="14" s="1"/>
  <c r="J17" i="14"/>
  <c r="J15" i="14"/>
  <c r="E15" i="14"/>
  <c r="F84" i="14" s="1"/>
  <c r="J14" i="14"/>
  <c r="J12" i="14"/>
  <c r="J52" i="14" s="1"/>
  <c r="E78" i="14"/>
  <c r="BJ141" i="13"/>
  <c r="BH141" i="13"/>
  <c r="BG141" i="13"/>
  <c r="BF141" i="13"/>
  <c r="BD141" i="13"/>
  <c r="T141" i="13"/>
  <c r="R141" i="13"/>
  <c r="P141" i="13"/>
  <c r="J141" i="13"/>
  <c r="BE141" i="13" s="1"/>
  <c r="BJ140" i="13"/>
  <c r="BH140" i="13"/>
  <c r="BG140" i="13"/>
  <c r="BF140" i="13"/>
  <c r="BD140" i="13"/>
  <c r="T140" i="13"/>
  <c r="R140" i="13"/>
  <c r="R138" i="13" s="1"/>
  <c r="P140" i="13"/>
  <c r="J140" i="13"/>
  <c r="BE140" i="13" s="1"/>
  <c r="BJ139" i="13"/>
  <c r="BH139" i="13"/>
  <c r="BG139" i="13"/>
  <c r="BF139" i="13"/>
  <c r="BD139" i="13"/>
  <c r="T139" i="13"/>
  <c r="T138" i="13" s="1"/>
  <c r="R139" i="13"/>
  <c r="P139" i="13"/>
  <c r="J139" i="13"/>
  <c r="BE139" i="13" s="1"/>
  <c r="BJ138" i="13"/>
  <c r="J138" i="13"/>
  <c r="J65" i="13" s="1"/>
  <c r="BH137" i="13"/>
  <c r="BG137" i="13"/>
  <c r="BF137" i="13"/>
  <c r="BD137" i="13"/>
  <c r="BH136" i="13"/>
  <c r="BG136" i="13"/>
  <c r="BF136" i="13"/>
  <c r="BD136" i="13"/>
  <c r="J136" i="13"/>
  <c r="BE136" i="13" s="1"/>
  <c r="H136" i="13"/>
  <c r="BJ136" i="13" s="1"/>
  <c r="H135" i="13"/>
  <c r="H132" i="13" s="1"/>
  <c r="BJ132" i="13" s="1"/>
  <c r="H133" i="13"/>
  <c r="BH132" i="13"/>
  <c r="BG132" i="13"/>
  <c r="BF132" i="13"/>
  <c r="BD132" i="13"/>
  <c r="H131" i="13"/>
  <c r="BH130" i="13"/>
  <c r="BG130" i="13"/>
  <c r="BF130" i="13"/>
  <c r="BD130" i="13"/>
  <c r="H130" i="13"/>
  <c r="H137" i="13" s="1"/>
  <c r="BJ129" i="13"/>
  <c r="BH129" i="13"/>
  <c r="BG129" i="13"/>
  <c r="BF129" i="13"/>
  <c r="BD129" i="13"/>
  <c r="T129" i="13"/>
  <c r="R129" i="13"/>
  <c r="P129" i="13"/>
  <c r="J129" i="13"/>
  <c r="BE129" i="13" s="1"/>
  <c r="BH125" i="13"/>
  <c r="BG125" i="13"/>
  <c r="BF125" i="13"/>
  <c r="BD125" i="13"/>
  <c r="H125" i="13"/>
  <c r="BJ123" i="13"/>
  <c r="BH123" i="13"/>
  <c r="BG123" i="13"/>
  <c r="BF123" i="13"/>
  <c r="BD123" i="13"/>
  <c r="T123" i="13"/>
  <c r="R123" i="13"/>
  <c r="P123" i="13"/>
  <c r="J123" i="13"/>
  <c r="BE123" i="13" s="1"/>
  <c r="BH121" i="13"/>
  <c r="BG121" i="13"/>
  <c r="BF121" i="13"/>
  <c r="BD121" i="13"/>
  <c r="H121" i="13"/>
  <c r="BJ121" i="13" s="1"/>
  <c r="BJ120" i="13"/>
  <c r="BH120" i="13"/>
  <c r="BG120" i="13"/>
  <c r="BF120" i="13"/>
  <c r="BD120" i="13"/>
  <c r="T120" i="13"/>
  <c r="R120" i="13"/>
  <c r="P120" i="13"/>
  <c r="J120" i="13"/>
  <c r="BE120" i="13" s="1"/>
  <c r="BJ119" i="13"/>
  <c r="BH119" i="13"/>
  <c r="BG119" i="13"/>
  <c r="BF119" i="13"/>
  <c r="BD119" i="13"/>
  <c r="T119" i="13"/>
  <c r="R119" i="13"/>
  <c r="P119" i="13"/>
  <c r="J119" i="13"/>
  <c r="BE119" i="13" s="1"/>
  <c r="BH117" i="13"/>
  <c r="BG117" i="13"/>
  <c r="BF117" i="13"/>
  <c r="BD117" i="13"/>
  <c r="BH116" i="13"/>
  <c r="BG116" i="13"/>
  <c r="BF116" i="13"/>
  <c r="BD116" i="13"/>
  <c r="BH114" i="13"/>
  <c r="BG114" i="13"/>
  <c r="BF114" i="13"/>
  <c r="BD114" i="13"/>
  <c r="BH113" i="13"/>
  <c r="BG113" i="13"/>
  <c r="BF113" i="13"/>
  <c r="BD113" i="13"/>
  <c r="BH112" i="13"/>
  <c r="BG112" i="13"/>
  <c r="BF112" i="13"/>
  <c r="BD112" i="13"/>
  <c r="BJ110" i="13"/>
  <c r="BH110" i="13"/>
  <c r="BG110" i="13"/>
  <c r="BF110" i="13"/>
  <c r="BD110" i="13"/>
  <c r="T110" i="13"/>
  <c r="R110" i="13"/>
  <c r="P110" i="13"/>
  <c r="J110" i="13"/>
  <c r="BE110" i="13" s="1"/>
  <c r="BJ108" i="13"/>
  <c r="BH108" i="13"/>
  <c r="BG108" i="13"/>
  <c r="BF108" i="13"/>
  <c r="BD108" i="13"/>
  <c r="T108" i="13"/>
  <c r="R108" i="13"/>
  <c r="P108" i="13"/>
  <c r="J108" i="13"/>
  <c r="BE108" i="13" s="1"/>
  <c r="BH106" i="13"/>
  <c r="BG106" i="13"/>
  <c r="BF106" i="13"/>
  <c r="BD106" i="13"/>
  <c r="H106" i="13"/>
  <c r="BJ104" i="13"/>
  <c r="BH104" i="13"/>
  <c r="BG104" i="13"/>
  <c r="BF104" i="13"/>
  <c r="BD104" i="13"/>
  <c r="T104" i="13"/>
  <c r="R104" i="13"/>
  <c r="P104" i="13"/>
  <c r="J104" i="13"/>
  <c r="BE104" i="13" s="1"/>
  <c r="BJ103" i="13"/>
  <c r="BH103" i="13"/>
  <c r="BG103" i="13"/>
  <c r="BF103" i="13"/>
  <c r="BD103" i="13"/>
  <c r="T103" i="13"/>
  <c r="R103" i="13"/>
  <c r="P103" i="13"/>
  <c r="J103" i="13"/>
  <c r="BE103" i="13" s="1"/>
  <c r="BH101" i="13"/>
  <c r="BG101" i="13"/>
  <c r="BF101" i="13"/>
  <c r="BD101" i="13"/>
  <c r="BH100" i="13"/>
  <c r="BG100" i="13"/>
  <c r="BF100" i="13"/>
  <c r="BD100" i="13"/>
  <c r="BH99" i="13"/>
  <c r="BG99" i="13"/>
  <c r="BF99" i="13"/>
  <c r="BD99" i="13"/>
  <c r="BH98" i="13"/>
  <c r="BG98" i="13"/>
  <c r="BF98" i="13"/>
  <c r="BD98" i="13"/>
  <c r="BH97" i="13"/>
  <c r="BG97" i="13"/>
  <c r="BF97" i="13"/>
  <c r="BD97" i="13"/>
  <c r="J33" i="13" s="1"/>
  <c r="H97" i="13"/>
  <c r="H98" i="13" s="1"/>
  <c r="J96" i="13"/>
  <c r="J95" i="13"/>
  <c r="BH93" i="13"/>
  <c r="BG93" i="13"/>
  <c r="BF93" i="13"/>
  <c r="BD93" i="13"/>
  <c r="J92" i="13"/>
  <c r="BJ90" i="13"/>
  <c r="BH90" i="13"/>
  <c r="BG90" i="13"/>
  <c r="BF90" i="13"/>
  <c r="BD90" i="13"/>
  <c r="T90" i="13"/>
  <c r="R90" i="13"/>
  <c r="P90" i="13"/>
  <c r="J90" i="13"/>
  <c r="BE90" i="13" s="1"/>
  <c r="BH89" i="13"/>
  <c r="BG89" i="13"/>
  <c r="BF89" i="13"/>
  <c r="BD89" i="13"/>
  <c r="H89" i="13"/>
  <c r="R89" i="13" s="1"/>
  <c r="F80" i="13"/>
  <c r="J66" i="13"/>
  <c r="F52" i="13"/>
  <c r="E50" i="13"/>
  <c r="J37" i="13"/>
  <c r="J36" i="13"/>
  <c r="J35" i="13"/>
  <c r="J24" i="13"/>
  <c r="E24" i="13"/>
  <c r="J55" i="13" s="1"/>
  <c r="J23" i="13"/>
  <c r="J21" i="13"/>
  <c r="E21" i="13"/>
  <c r="J54" i="13" s="1"/>
  <c r="J20" i="13"/>
  <c r="J18" i="13"/>
  <c r="E18" i="13"/>
  <c r="F83" i="13" s="1"/>
  <c r="J17" i="13"/>
  <c r="J15" i="13"/>
  <c r="E15" i="13"/>
  <c r="F82" i="13" s="1"/>
  <c r="J14" i="13"/>
  <c r="J12" i="13"/>
  <c r="J52" i="13" s="1"/>
  <c r="E76" i="13"/>
  <c r="BI149" i="12"/>
  <c r="BH149" i="12"/>
  <c r="BG149" i="12"/>
  <c r="BE149" i="12"/>
  <c r="H149" i="12"/>
  <c r="R149" i="12" s="1"/>
  <c r="BI147" i="12"/>
  <c r="BH147" i="12"/>
  <c r="BG147" i="12"/>
  <c r="BE147" i="12"/>
  <c r="H147" i="12"/>
  <c r="R147" i="12" s="1"/>
  <c r="BI146" i="12"/>
  <c r="BH146" i="12"/>
  <c r="BG146" i="12"/>
  <c r="BE146" i="12"/>
  <c r="H146" i="12"/>
  <c r="R146" i="12" s="1"/>
  <c r="R145" i="12" s="1"/>
  <c r="R144" i="12" s="1"/>
  <c r="BK142" i="12"/>
  <c r="BI142" i="12"/>
  <c r="BH142" i="12"/>
  <c r="BG142" i="12"/>
  <c r="BF142" i="12"/>
  <c r="BE142" i="12"/>
  <c r="T142" i="12"/>
  <c r="T141" i="12" s="1"/>
  <c r="T140" i="12" s="1"/>
  <c r="R142" i="12"/>
  <c r="P142" i="12"/>
  <c r="P141" i="12" s="1"/>
  <c r="P140" i="12" s="1"/>
  <c r="J142" i="12"/>
  <c r="BK141" i="12"/>
  <c r="BK140" i="12" s="1"/>
  <c r="R141" i="12"/>
  <c r="R140" i="12" s="1"/>
  <c r="J141" i="12"/>
  <c r="J140" i="12" s="1"/>
  <c r="H139" i="12"/>
  <c r="J139" i="12" s="1"/>
  <c r="J136" i="12" s="1"/>
  <c r="BK137" i="12"/>
  <c r="BI137" i="12"/>
  <c r="BH137" i="12"/>
  <c r="BG137" i="12"/>
  <c r="BE137" i="12"/>
  <c r="T137" i="12"/>
  <c r="R137" i="12"/>
  <c r="P137" i="12"/>
  <c r="J137" i="12"/>
  <c r="BF137" i="12" s="1"/>
  <c r="BK135" i="12"/>
  <c r="BI135" i="12"/>
  <c r="BH135" i="12"/>
  <c r="BG135" i="12"/>
  <c r="BE135" i="12"/>
  <c r="T135" i="12"/>
  <c r="T133" i="12" s="1"/>
  <c r="R135" i="12"/>
  <c r="P135" i="12"/>
  <c r="P133" i="12" s="1"/>
  <c r="J135" i="12"/>
  <c r="BF135" i="12" s="1"/>
  <c r="BK134" i="12"/>
  <c r="BK133" i="12" s="1"/>
  <c r="BI134" i="12"/>
  <c r="BH134" i="12"/>
  <c r="BG134" i="12"/>
  <c r="BE134" i="12"/>
  <c r="T134" i="12"/>
  <c r="R134" i="12"/>
  <c r="R133" i="12" s="1"/>
  <c r="P134" i="12"/>
  <c r="J134" i="12"/>
  <c r="BF134" i="12" s="1"/>
  <c r="BI132" i="12"/>
  <c r="BH132" i="12"/>
  <c r="BG132" i="12"/>
  <c r="BE132" i="12"/>
  <c r="J131" i="12"/>
  <c r="BI130" i="12"/>
  <c r="BH130" i="12"/>
  <c r="BG130" i="12"/>
  <c r="BE130" i="12"/>
  <c r="BI129" i="12"/>
  <c r="BH129" i="12"/>
  <c r="BG129" i="12"/>
  <c r="BE129" i="12"/>
  <c r="R129" i="12"/>
  <c r="J129" i="12"/>
  <c r="BF129" i="12" s="1"/>
  <c r="H129" i="12"/>
  <c r="BK129" i="12" s="1"/>
  <c r="BI127" i="12"/>
  <c r="BH127" i="12"/>
  <c r="BG127" i="12"/>
  <c r="BE127" i="12"/>
  <c r="H127" i="12"/>
  <c r="R127" i="12" s="1"/>
  <c r="BI125" i="12"/>
  <c r="BH125" i="12"/>
  <c r="BG125" i="12"/>
  <c r="BE125" i="12"/>
  <c r="R125" i="12"/>
  <c r="J125" i="12"/>
  <c r="BF125" i="12" s="1"/>
  <c r="H125" i="12"/>
  <c r="BK125" i="12" s="1"/>
  <c r="BK124" i="12"/>
  <c r="BI124" i="12"/>
  <c r="BH124" i="12"/>
  <c r="BG124" i="12"/>
  <c r="BF124" i="12"/>
  <c r="BE124" i="12"/>
  <c r="T124" i="12"/>
  <c r="R124" i="12"/>
  <c r="P124" i="12"/>
  <c r="J124" i="12"/>
  <c r="BI123" i="12"/>
  <c r="BH123" i="12"/>
  <c r="BG123" i="12"/>
  <c r="BE123" i="12"/>
  <c r="H123" i="12"/>
  <c r="BI121" i="12"/>
  <c r="BH121" i="12"/>
  <c r="BG121" i="12"/>
  <c r="BE121" i="12"/>
  <c r="BK120" i="12"/>
  <c r="BI120" i="12"/>
  <c r="BH120" i="12"/>
  <c r="BG120" i="12"/>
  <c r="BE120" i="12"/>
  <c r="T120" i="12"/>
  <c r="R120" i="12"/>
  <c r="P120" i="12"/>
  <c r="J120" i="12"/>
  <c r="BF120" i="12" s="1"/>
  <c r="BI119" i="12"/>
  <c r="BH119" i="12"/>
  <c r="BG119" i="12"/>
  <c r="BE119" i="12"/>
  <c r="BI118" i="12"/>
  <c r="BH118" i="12"/>
  <c r="BG118" i="12"/>
  <c r="BE118" i="12"/>
  <c r="H118" i="12"/>
  <c r="H119" i="12" s="1"/>
  <c r="BI116" i="12"/>
  <c r="BH116" i="12"/>
  <c r="BG116" i="12"/>
  <c r="BE116" i="12"/>
  <c r="BK115" i="12"/>
  <c r="BI115" i="12"/>
  <c r="BH115" i="12"/>
  <c r="BG115" i="12"/>
  <c r="BE115" i="12"/>
  <c r="T115" i="12"/>
  <c r="R115" i="12"/>
  <c r="P115" i="12"/>
  <c r="J115" i="12"/>
  <c r="BF115" i="12" s="1"/>
  <c r="BK114" i="12"/>
  <c r="BI114" i="12"/>
  <c r="BH114" i="12"/>
  <c r="BG114" i="12"/>
  <c r="BE114" i="12"/>
  <c r="T114" i="12"/>
  <c r="R114" i="12"/>
  <c r="P114" i="12"/>
  <c r="J114" i="12"/>
  <c r="BF114" i="12" s="1"/>
  <c r="BK113" i="12"/>
  <c r="BI113" i="12"/>
  <c r="BH113" i="12"/>
  <c r="BG113" i="12"/>
  <c r="BE113" i="12"/>
  <c r="T113" i="12"/>
  <c r="R113" i="12"/>
  <c r="P113" i="12"/>
  <c r="J113" i="12"/>
  <c r="BF113" i="12" s="1"/>
  <c r="BK112" i="12"/>
  <c r="BI112" i="12"/>
  <c r="BH112" i="12"/>
  <c r="BG112" i="12"/>
  <c r="BE112" i="12"/>
  <c r="T112" i="12"/>
  <c r="R112" i="12"/>
  <c r="P112" i="12"/>
  <c r="J112" i="12"/>
  <c r="BF112" i="12" s="1"/>
  <c r="BI111" i="12"/>
  <c r="BH111" i="12"/>
  <c r="BG111" i="12"/>
  <c r="BE111" i="12"/>
  <c r="BI110" i="12"/>
  <c r="BH110" i="12"/>
  <c r="BG110" i="12"/>
  <c r="BE110" i="12"/>
  <c r="H109" i="12"/>
  <c r="H108" i="12" s="1"/>
  <c r="R108" i="12" s="1"/>
  <c r="BI108" i="12"/>
  <c r="BH108" i="12"/>
  <c r="BG108" i="12"/>
  <c r="BE108" i="12"/>
  <c r="BK107" i="12"/>
  <c r="BI107" i="12"/>
  <c r="BH107" i="12"/>
  <c r="BG107" i="12"/>
  <c r="BE107" i="12"/>
  <c r="J33" i="12" s="1"/>
  <c r="T107" i="12"/>
  <c r="R107" i="12"/>
  <c r="P107" i="12"/>
  <c r="J107" i="12"/>
  <c r="BF107" i="12" s="1"/>
  <c r="BK106" i="12"/>
  <c r="BI106" i="12"/>
  <c r="BH106" i="12"/>
  <c r="BG106" i="12"/>
  <c r="BE106" i="12"/>
  <c r="T106" i="12"/>
  <c r="R106" i="12"/>
  <c r="P106" i="12"/>
  <c r="J106" i="12"/>
  <c r="BF106" i="12" s="1"/>
  <c r="BK104" i="12"/>
  <c r="BI104" i="12"/>
  <c r="BH104" i="12"/>
  <c r="BG104" i="12"/>
  <c r="BE104" i="12"/>
  <c r="T104" i="12"/>
  <c r="R104" i="12"/>
  <c r="P104" i="12"/>
  <c r="J104" i="12"/>
  <c r="BF104" i="12" s="1"/>
  <c r="BI103" i="12"/>
  <c r="BH103" i="12"/>
  <c r="BG103" i="12"/>
  <c r="BE103" i="12"/>
  <c r="BI102" i="12"/>
  <c r="BH102" i="12"/>
  <c r="BG102" i="12"/>
  <c r="BE102" i="12"/>
  <c r="J102" i="12"/>
  <c r="H102" i="12"/>
  <c r="H148" i="12" s="1"/>
  <c r="J148" i="12" s="1"/>
  <c r="BK99" i="12"/>
  <c r="BK98" i="12" s="1"/>
  <c r="BI99" i="12"/>
  <c r="BH99" i="12"/>
  <c r="BG99" i="12"/>
  <c r="BF99" i="12"/>
  <c r="BE99" i="12"/>
  <c r="T99" i="12"/>
  <c r="T98" i="12" s="1"/>
  <c r="R99" i="12"/>
  <c r="P99" i="12"/>
  <c r="P98" i="12" s="1"/>
  <c r="J99" i="12"/>
  <c r="R98" i="12"/>
  <c r="J98" i="12"/>
  <c r="J62" i="12" s="1"/>
  <c r="BI96" i="12"/>
  <c r="BH96" i="12"/>
  <c r="BG96" i="12"/>
  <c r="BE96" i="12"/>
  <c r="J96" i="12"/>
  <c r="BF96" i="12" s="1"/>
  <c r="H96" i="12"/>
  <c r="BK96" i="12" s="1"/>
  <c r="BK95" i="12"/>
  <c r="BI95" i="12"/>
  <c r="BH95" i="12"/>
  <c r="BG95" i="12"/>
  <c r="BF95" i="12"/>
  <c r="BE95" i="12"/>
  <c r="T95" i="12"/>
  <c r="R95" i="12"/>
  <c r="P95" i="12"/>
  <c r="J95" i="12"/>
  <c r="BI94" i="12"/>
  <c r="BH94" i="12"/>
  <c r="BG94" i="12"/>
  <c r="BE94" i="12"/>
  <c r="H94" i="12"/>
  <c r="BK94" i="12" s="1"/>
  <c r="BK93" i="12"/>
  <c r="BI93" i="12"/>
  <c r="BH93" i="12"/>
  <c r="BG93" i="12"/>
  <c r="BE93" i="12"/>
  <c r="T93" i="12"/>
  <c r="R93" i="12"/>
  <c r="P93" i="12"/>
  <c r="J93" i="12"/>
  <c r="BF93" i="12" s="1"/>
  <c r="BK92" i="12"/>
  <c r="BI92" i="12"/>
  <c r="BH92" i="12"/>
  <c r="BG92" i="12"/>
  <c r="BE92" i="12"/>
  <c r="T92" i="12"/>
  <c r="R92" i="12"/>
  <c r="P92" i="12"/>
  <c r="J92" i="12"/>
  <c r="BF92" i="12" s="1"/>
  <c r="F83" i="12"/>
  <c r="J69" i="12"/>
  <c r="F52" i="12"/>
  <c r="E50" i="12"/>
  <c r="J37" i="12"/>
  <c r="J36" i="12"/>
  <c r="J35" i="12"/>
  <c r="J24" i="12"/>
  <c r="E24" i="12"/>
  <c r="J86" i="12" s="1"/>
  <c r="J23" i="12"/>
  <c r="J21" i="12"/>
  <c r="E21" i="12"/>
  <c r="J85" i="12" s="1"/>
  <c r="J20" i="12"/>
  <c r="J18" i="12"/>
  <c r="E18" i="12"/>
  <c r="F86" i="12" s="1"/>
  <c r="J17" i="12"/>
  <c r="J15" i="12"/>
  <c r="E15" i="12"/>
  <c r="F85" i="12" s="1"/>
  <c r="J14" i="12"/>
  <c r="J12" i="12"/>
  <c r="J83" i="12" s="1"/>
  <c r="BK141" i="11"/>
  <c r="BK140" i="11" s="1"/>
  <c r="BI141" i="11"/>
  <c r="BH141" i="11"/>
  <c r="BG141" i="11"/>
  <c r="BE141" i="11"/>
  <c r="T141" i="11"/>
  <c r="R141" i="11"/>
  <c r="R140" i="11" s="1"/>
  <c r="P141" i="11"/>
  <c r="J141" i="11"/>
  <c r="BF141" i="11" s="1"/>
  <c r="T140" i="11"/>
  <c r="P140" i="11"/>
  <c r="BK139" i="11"/>
  <c r="BI139" i="11"/>
  <c r="BH139" i="11"/>
  <c r="BG139" i="11"/>
  <c r="BF139" i="11"/>
  <c r="BE139" i="11"/>
  <c r="T139" i="11"/>
  <c r="R139" i="11"/>
  <c r="P139" i="11"/>
  <c r="J139" i="11"/>
  <c r="J138" i="11"/>
  <c r="BI137" i="11"/>
  <c r="BH137" i="11"/>
  <c r="BG137" i="11"/>
  <c r="BE137" i="11"/>
  <c r="J137" i="11"/>
  <c r="BF137" i="11" s="1"/>
  <c r="H137" i="11"/>
  <c r="BK137" i="11" s="1"/>
  <c r="BK136" i="11"/>
  <c r="BI136" i="11"/>
  <c r="BH136" i="11"/>
  <c r="BG136" i="11"/>
  <c r="BF136" i="11"/>
  <c r="BE136" i="11"/>
  <c r="T136" i="11"/>
  <c r="R136" i="11"/>
  <c r="P136" i="11"/>
  <c r="J136" i="11"/>
  <c r="BK135" i="11"/>
  <c r="BI135" i="11"/>
  <c r="BH135" i="11"/>
  <c r="BG135" i="11"/>
  <c r="BF135" i="11"/>
  <c r="BE135" i="11"/>
  <c r="T135" i="11"/>
  <c r="R135" i="11"/>
  <c r="P135" i="11"/>
  <c r="J135" i="11"/>
  <c r="BI133" i="11"/>
  <c r="BH133" i="11"/>
  <c r="BG133" i="11"/>
  <c r="BE133" i="11"/>
  <c r="BI132" i="11"/>
  <c r="BH132" i="11"/>
  <c r="BG132" i="11"/>
  <c r="BE132" i="11"/>
  <c r="H132" i="11"/>
  <c r="BK132" i="11" s="1"/>
  <c r="H129" i="11"/>
  <c r="H131" i="11" s="1"/>
  <c r="H128" i="11" s="1"/>
  <c r="BI128" i="11"/>
  <c r="BH128" i="11"/>
  <c r="BG128" i="11"/>
  <c r="BE128" i="11"/>
  <c r="BI126" i="11"/>
  <c r="BH126" i="11"/>
  <c r="BG126" i="11"/>
  <c r="BE126" i="11"/>
  <c r="H126" i="11"/>
  <c r="BK126" i="11" s="1"/>
  <c r="BK125" i="11"/>
  <c r="BI125" i="11"/>
  <c r="BH125" i="11"/>
  <c r="BG125" i="11"/>
  <c r="BE125" i="11"/>
  <c r="T125" i="11"/>
  <c r="R125" i="11"/>
  <c r="P125" i="11"/>
  <c r="J125" i="11"/>
  <c r="BF125" i="11" s="1"/>
  <c r="BK124" i="11"/>
  <c r="BI124" i="11"/>
  <c r="BH124" i="11"/>
  <c r="BG124" i="11"/>
  <c r="BE124" i="11"/>
  <c r="T124" i="11"/>
  <c r="R124" i="11"/>
  <c r="P124" i="11"/>
  <c r="J124" i="11"/>
  <c r="BF124" i="11" s="1"/>
  <c r="BK120" i="11"/>
  <c r="BI120" i="11"/>
  <c r="BH120" i="11"/>
  <c r="BG120" i="11"/>
  <c r="BE120" i="11"/>
  <c r="T120" i="11"/>
  <c r="R120" i="11"/>
  <c r="P120" i="11"/>
  <c r="J120" i="11"/>
  <c r="BF120" i="11" s="1"/>
  <c r="BK118" i="11"/>
  <c r="BI118" i="11"/>
  <c r="BH118" i="11"/>
  <c r="BG118" i="11"/>
  <c r="BE118" i="11"/>
  <c r="T118" i="11"/>
  <c r="R118" i="11"/>
  <c r="P118" i="11"/>
  <c r="J118" i="11"/>
  <c r="BF118" i="11" s="1"/>
  <c r="BK116" i="11"/>
  <c r="BI116" i="11"/>
  <c r="BH116" i="11"/>
  <c r="BG116" i="11"/>
  <c r="BE116" i="11"/>
  <c r="T116" i="11"/>
  <c r="R116" i="11"/>
  <c r="P116" i="11"/>
  <c r="J116" i="11"/>
  <c r="BF116" i="11" s="1"/>
  <c r="BK115" i="11"/>
  <c r="BI115" i="11"/>
  <c r="BH115" i="11"/>
  <c r="BG115" i="11"/>
  <c r="BE115" i="11"/>
  <c r="T115" i="11"/>
  <c r="R115" i="11"/>
  <c r="P115" i="11"/>
  <c r="J115" i="11"/>
  <c r="BF115" i="11" s="1"/>
  <c r="BK113" i="11"/>
  <c r="BI113" i="11"/>
  <c r="BH113" i="11"/>
  <c r="BG113" i="11"/>
  <c r="BE113" i="11"/>
  <c r="T113" i="11"/>
  <c r="R113" i="11"/>
  <c r="P113" i="11"/>
  <c r="J113" i="11"/>
  <c r="BF113" i="11" s="1"/>
  <c r="BI111" i="11"/>
  <c r="BH111" i="11"/>
  <c r="BG111" i="11"/>
  <c r="BE111" i="11"/>
  <c r="BI110" i="11"/>
  <c r="BH110" i="11"/>
  <c r="BG110" i="11"/>
  <c r="BE110" i="11"/>
  <c r="BI108" i="11"/>
  <c r="BH108" i="11"/>
  <c r="BG108" i="11"/>
  <c r="BE108" i="11"/>
  <c r="BI107" i="11"/>
  <c r="BH107" i="11"/>
  <c r="BG107" i="11"/>
  <c r="BE107" i="11"/>
  <c r="BI106" i="11"/>
  <c r="BH106" i="11"/>
  <c r="BG106" i="11"/>
  <c r="BE106" i="11"/>
  <c r="H106" i="11"/>
  <c r="BK104" i="11"/>
  <c r="BI104" i="11"/>
  <c r="BH104" i="11"/>
  <c r="BG104" i="11"/>
  <c r="BE104" i="11"/>
  <c r="T104" i="11"/>
  <c r="R104" i="11"/>
  <c r="P104" i="11"/>
  <c r="J104" i="11"/>
  <c r="BF104" i="11" s="1"/>
  <c r="BK102" i="11"/>
  <c r="BI102" i="11"/>
  <c r="BH102" i="11"/>
  <c r="BG102" i="11"/>
  <c r="BE102" i="11"/>
  <c r="T102" i="11"/>
  <c r="R102" i="11"/>
  <c r="P102" i="11"/>
  <c r="J102" i="11"/>
  <c r="BF102" i="11" s="1"/>
  <c r="BK100" i="11"/>
  <c r="BI100" i="11"/>
  <c r="BH100" i="11"/>
  <c r="BG100" i="11"/>
  <c r="BE100" i="11"/>
  <c r="T100" i="11"/>
  <c r="R100" i="11"/>
  <c r="P100" i="11"/>
  <c r="J100" i="11"/>
  <c r="BF100" i="11" s="1"/>
  <c r="BK98" i="11"/>
  <c r="BI98" i="11"/>
  <c r="BH98" i="11"/>
  <c r="BG98" i="11"/>
  <c r="BE98" i="11"/>
  <c r="T98" i="11"/>
  <c r="R98" i="11"/>
  <c r="P98" i="11"/>
  <c r="J98" i="11"/>
  <c r="BF98" i="11" s="1"/>
  <c r="BK97" i="11"/>
  <c r="BI97" i="11"/>
  <c r="BH97" i="11"/>
  <c r="BG97" i="11"/>
  <c r="BE97" i="11"/>
  <c r="T97" i="11"/>
  <c r="R97" i="11"/>
  <c r="P97" i="11"/>
  <c r="J97" i="11"/>
  <c r="BF97" i="11" s="1"/>
  <c r="BK96" i="11"/>
  <c r="J96" i="11"/>
  <c r="J95" i="11"/>
  <c r="BI93" i="11"/>
  <c r="BH93" i="11"/>
  <c r="BG93" i="11"/>
  <c r="BE93" i="11"/>
  <c r="BK92" i="11"/>
  <c r="BI92" i="11"/>
  <c r="BH92" i="11"/>
  <c r="BG92" i="11"/>
  <c r="BE92" i="11"/>
  <c r="J33" i="11" s="1"/>
  <c r="T92" i="11"/>
  <c r="R92" i="11"/>
  <c r="P92" i="11"/>
  <c r="J92" i="11"/>
  <c r="BF92" i="11" s="1"/>
  <c r="BK90" i="11"/>
  <c r="BI90" i="11"/>
  <c r="F37" i="11" s="1"/>
  <c r="BH90" i="11"/>
  <c r="BG90" i="11"/>
  <c r="F35" i="11" s="1"/>
  <c r="BE90" i="11"/>
  <c r="T90" i="11"/>
  <c r="R90" i="11"/>
  <c r="P90" i="11"/>
  <c r="J90" i="11"/>
  <c r="BF90" i="11" s="1"/>
  <c r="BI89" i="11"/>
  <c r="BH89" i="11"/>
  <c r="BG89" i="11"/>
  <c r="BE89" i="11"/>
  <c r="H89" i="11"/>
  <c r="BK89" i="11" s="1"/>
  <c r="BK88" i="11" s="1"/>
  <c r="F80" i="11"/>
  <c r="F52" i="11"/>
  <c r="E50" i="11"/>
  <c r="J37" i="11"/>
  <c r="J36" i="11"/>
  <c r="J35" i="11"/>
  <c r="J24" i="11"/>
  <c r="E24" i="11"/>
  <c r="J83" i="11" s="1"/>
  <c r="J23" i="11"/>
  <c r="J21" i="11"/>
  <c r="E21" i="11"/>
  <c r="J82" i="11" s="1"/>
  <c r="J20" i="11"/>
  <c r="J18" i="11"/>
  <c r="E18" i="11"/>
  <c r="F55" i="11" s="1"/>
  <c r="J17" i="11"/>
  <c r="J15" i="11"/>
  <c r="E15" i="11"/>
  <c r="F54" i="11" s="1"/>
  <c r="J14" i="11"/>
  <c r="J12" i="11"/>
  <c r="J80" i="11" s="1"/>
  <c r="E76" i="11"/>
  <c r="BH149" i="10"/>
  <c r="BH148" i="10" s="1"/>
  <c r="BF149" i="10"/>
  <c r="BE149" i="10"/>
  <c r="BD149" i="10"/>
  <c r="BB149" i="10"/>
  <c r="R149" i="10"/>
  <c r="P149" i="10"/>
  <c r="P148" i="10" s="1"/>
  <c r="N149" i="10"/>
  <c r="J149" i="10"/>
  <c r="BC149" i="10" s="1"/>
  <c r="R148" i="10"/>
  <c r="N148" i="10"/>
  <c r="BH147" i="10"/>
  <c r="BF147" i="10"/>
  <c r="BE147" i="10"/>
  <c r="BD147" i="10"/>
  <c r="BC147" i="10"/>
  <c r="BB147" i="10"/>
  <c r="R147" i="10"/>
  <c r="P147" i="10"/>
  <c r="N147" i="10"/>
  <c r="J147" i="10"/>
  <c r="J146" i="10"/>
  <c r="BH145" i="10"/>
  <c r="BF145" i="10"/>
  <c r="BE145" i="10"/>
  <c r="BD145" i="10"/>
  <c r="BB145" i="10"/>
  <c r="R145" i="10"/>
  <c r="P145" i="10"/>
  <c r="N145" i="10"/>
  <c r="J145" i="10"/>
  <c r="BC145" i="10" s="1"/>
  <c r="BH144" i="10"/>
  <c r="BF144" i="10"/>
  <c r="BE144" i="10"/>
  <c r="BD144" i="10"/>
  <c r="BB144" i="10"/>
  <c r="R144" i="10"/>
  <c r="P144" i="10"/>
  <c r="N144" i="10"/>
  <c r="J144" i="10"/>
  <c r="BC144" i="10" s="1"/>
  <c r="BH143" i="10"/>
  <c r="BF143" i="10"/>
  <c r="BE143" i="10"/>
  <c r="BD143" i="10"/>
  <c r="BB143" i="10"/>
  <c r="R143" i="10"/>
  <c r="P143" i="10"/>
  <c r="N143" i="10"/>
  <c r="N140" i="10" s="1"/>
  <c r="J143" i="10"/>
  <c r="BC143" i="10" s="1"/>
  <c r="BH142" i="10"/>
  <c r="BF142" i="10"/>
  <c r="BE142" i="10"/>
  <c r="BD142" i="10"/>
  <c r="BB142" i="10"/>
  <c r="R142" i="10"/>
  <c r="P142" i="10"/>
  <c r="N142" i="10"/>
  <c r="J142" i="10"/>
  <c r="BC142" i="10" s="1"/>
  <c r="BH141" i="10"/>
  <c r="BF141" i="10"/>
  <c r="BE141" i="10"/>
  <c r="BD141" i="10"/>
  <c r="BB141" i="10"/>
  <c r="R141" i="10"/>
  <c r="P141" i="10"/>
  <c r="N141" i="10"/>
  <c r="J141" i="10"/>
  <c r="BC141" i="10" s="1"/>
  <c r="BH140" i="10"/>
  <c r="P140" i="10"/>
  <c r="BF139" i="10"/>
  <c r="BE139" i="10"/>
  <c r="BD139" i="10"/>
  <c r="BB139" i="10"/>
  <c r="BH138" i="10"/>
  <c r="BF138" i="10"/>
  <c r="BE138" i="10"/>
  <c r="BD138" i="10"/>
  <c r="BB138" i="10"/>
  <c r="R138" i="10"/>
  <c r="P138" i="10"/>
  <c r="N138" i="10"/>
  <c r="J138" i="10"/>
  <c r="BC138" i="10" s="1"/>
  <c r="H136" i="10"/>
  <c r="H137" i="10" s="1"/>
  <c r="H135" i="10" s="1"/>
  <c r="BF135" i="10"/>
  <c r="BE135" i="10"/>
  <c r="BD135" i="10"/>
  <c r="BB135" i="10"/>
  <c r="H134" i="10"/>
  <c r="H133" i="10" s="1"/>
  <c r="BF133" i="10"/>
  <c r="BE133" i="10"/>
  <c r="BD133" i="10"/>
  <c r="BB133" i="10"/>
  <c r="BH132" i="10"/>
  <c r="BF132" i="10"/>
  <c r="BE132" i="10"/>
  <c r="BD132" i="10"/>
  <c r="BB132" i="10"/>
  <c r="R132" i="10"/>
  <c r="P132" i="10"/>
  <c r="N132" i="10"/>
  <c r="J132" i="10"/>
  <c r="BC132" i="10" s="1"/>
  <c r="BH131" i="10"/>
  <c r="BF131" i="10"/>
  <c r="BE131" i="10"/>
  <c r="BD131" i="10"/>
  <c r="BB131" i="10"/>
  <c r="R131" i="10"/>
  <c r="P131" i="10"/>
  <c r="N131" i="10"/>
  <c r="J131" i="10"/>
  <c r="BC131" i="10" s="1"/>
  <c r="BH130" i="10"/>
  <c r="BF130" i="10"/>
  <c r="BE130" i="10"/>
  <c r="BD130" i="10"/>
  <c r="BB130" i="10"/>
  <c r="R130" i="10"/>
  <c r="P130" i="10"/>
  <c r="N130" i="10"/>
  <c r="J130" i="10"/>
  <c r="BC130" i="10" s="1"/>
  <c r="BH129" i="10"/>
  <c r="BF129" i="10"/>
  <c r="BE129" i="10"/>
  <c r="BD129" i="10"/>
  <c r="BB129" i="10"/>
  <c r="R129" i="10"/>
  <c r="P129" i="10"/>
  <c r="N129" i="10"/>
  <c r="J129" i="10"/>
  <c r="BC129" i="10" s="1"/>
  <c r="BH125" i="10"/>
  <c r="BF125" i="10"/>
  <c r="BE125" i="10"/>
  <c r="BD125" i="10"/>
  <c r="BB125" i="10"/>
  <c r="R125" i="10"/>
  <c r="P125" i="10"/>
  <c r="N125" i="10"/>
  <c r="J125" i="10"/>
  <c r="BC125" i="10" s="1"/>
  <c r="BH123" i="10"/>
  <c r="BF123" i="10"/>
  <c r="BE123" i="10"/>
  <c r="BD123" i="10"/>
  <c r="BB123" i="10"/>
  <c r="R123" i="10"/>
  <c r="P123" i="10"/>
  <c r="N123" i="10"/>
  <c r="J123" i="10"/>
  <c r="BC123" i="10" s="1"/>
  <c r="BF121" i="10"/>
  <c r="BE121" i="10"/>
  <c r="BD121" i="10"/>
  <c r="BB121" i="10"/>
  <c r="H121" i="10"/>
  <c r="BH121" i="10" s="1"/>
  <c r="BH120" i="10"/>
  <c r="BF120" i="10"/>
  <c r="BE120" i="10"/>
  <c r="BD120" i="10"/>
  <c r="BB120" i="10"/>
  <c r="R120" i="10"/>
  <c r="P120" i="10"/>
  <c r="N120" i="10"/>
  <c r="J120" i="10"/>
  <c r="BC120" i="10" s="1"/>
  <c r="BH119" i="10"/>
  <c r="BF119" i="10"/>
  <c r="BE119" i="10"/>
  <c r="BD119" i="10"/>
  <c r="BB119" i="10"/>
  <c r="R119" i="10"/>
  <c r="P119" i="10"/>
  <c r="N119" i="10"/>
  <c r="J119" i="10"/>
  <c r="BC119" i="10" s="1"/>
  <c r="BF117" i="10"/>
  <c r="BE117" i="10"/>
  <c r="BD117" i="10"/>
  <c r="BB117" i="10"/>
  <c r="BF116" i="10"/>
  <c r="BE116" i="10"/>
  <c r="BD116" i="10"/>
  <c r="BB116" i="10"/>
  <c r="BF114" i="10"/>
  <c r="BE114" i="10"/>
  <c r="BD114" i="10"/>
  <c r="BB114" i="10"/>
  <c r="BF113" i="10"/>
  <c r="BE113" i="10"/>
  <c r="BD113" i="10"/>
  <c r="BB113" i="10"/>
  <c r="H113" i="10"/>
  <c r="BH113" i="10" s="1"/>
  <c r="BF112" i="10"/>
  <c r="BE112" i="10"/>
  <c r="BD112" i="10"/>
  <c r="BB112" i="10"/>
  <c r="J112" i="10"/>
  <c r="BC112" i="10" s="1"/>
  <c r="H112" i="10"/>
  <c r="H116" i="10" s="1"/>
  <c r="BF110" i="10"/>
  <c r="BE110" i="10"/>
  <c r="BD110" i="10"/>
  <c r="BB110" i="10"/>
  <c r="H110" i="10"/>
  <c r="BH110" i="10" s="1"/>
  <c r="BH108" i="10"/>
  <c r="BF108" i="10"/>
  <c r="BE108" i="10"/>
  <c r="BD108" i="10"/>
  <c r="BB108" i="10"/>
  <c r="R108" i="10"/>
  <c r="P108" i="10"/>
  <c r="N108" i="10"/>
  <c r="J108" i="10"/>
  <c r="BC108" i="10" s="1"/>
  <c r="BF106" i="10"/>
  <c r="BE106" i="10"/>
  <c r="BD106" i="10"/>
  <c r="BB106" i="10"/>
  <c r="P106" i="10"/>
  <c r="H106" i="10"/>
  <c r="BH104" i="10"/>
  <c r="BF104" i="10"/>
  <c r="BE104" i="10"/>
  <c r="BD104" i="10"/>
  <c r="BB104" i="10"/>
  <c r="R104" i="10"/>
  <c r="P104" i="10"/>
  <c r="N104" i="10"/>
  <c r="J104" i="10"/>
  <c r="BC104" i="10" s="1"/>
  <c r="BH103" i="10"/>
  <c r="BF103" i="10"/>
  <c r="BE103" i="10"/>
  <c r="BD103" i="10"/>
  <c r="BB103" i="10"/>
  <c r="R103" i="10"/>
  <c r="P103" i="10"/>
  <c r="N103" i="10"/>
  <c r="J103" i="10"/>
  <c r="BC103" i="10" s="1"/>
  <c r="BF102" i="10"/>
  <c r="BE102" i="10"/>
  <c r="BD102" i="10"/>
  <c r="BB102" i="10"/>
  <c r="BF101" i="10"/>
  <c r="BE101" i="10"/>
  <c r="BD101" i="10"/>
  <c r="BB101" i="10"/>
  <c r="BF100" i="10"/>
  <c r="BE100" i="10"/>
  <c r="BD100" i="10"/>
  <c r="BB100" i="10"/>
  <c r="BF99" i="10"/>
  <c r="BE99" i="10"/>
  <c r="BD99" i="10"/>
  <c r="BB99" i="10"/>
  <c r="BF98" i="10"/>
  <c r="BE98" i="10"/>
  <c r="BD98" i="10"/>
  <c r="BB98" i="10"/>
  <c r="BF97" i="10"/>
  <c r="BE97" i="10"/>
  <c r="BD97" i="10"/>
  <c r="BB97" i="10"/>
  <c r="P97" i="10"/>
  <c r="H97" i="10"/>
  <c r="J96" i="10"/>
  <c r="BF93" i="10"/>
  <c r="BE93" i="10"/>
  <c r="BD93" i="10"/>
  <c r="BB93" i="10"/>
  <c r="J92" i="10"/>
  <c r="BH90" i="10"/>
  <c r="BF90" i="10"/>
  <c r="BE90" i="10"/>
  <c r="BD90" i="10"/>
  <c r="BB90" i="10"/>
  <c r="F33" i="10" s="1"/>
  <c r="R90" i="10"/>
  <c r="P90" i="10"/>
  <c r="P88" i="10" s="1"/>
  <c r="N90" i="10"/>
  <c r="J90" i="10"/>
  <c r="BC90" i="10" s="1"/>
  <c r="BH89" i="10"/>
  <c r="BF89" i="10"/>
  <c r="F37" i="10" s="1"/>
  <c r="BE89" i="10"/>
  <c r="BD89" i="10"/>
  <c r="F35" i="10" s="1"/>
  <c r="BB89" i="10"/>
  <c r="R89" i="10"/>
  <c r="R88" i="10" s="1"/>
  <c r="P89" i="10"/>
  <c r="N89" i="10"/>
  <c r="N88" i="10" s="1"/>
  <c r="J89" i="10"/>
  <c r="BH88" i="10"/>
  <c r="F80" i="10"/>
  <c r="F52" i="10"/>
  <c r="E50" i="10"/>
  <c r="J37" i="10"/>
  <c r="J36" i="10"/>
  <c r="F36" i="10"/>
  <c r="J35" i="10"/>
  <c r="J24" i="10"/>
  <c r="E24" i="10"/>
  <c r="J55" i="10" s="1"/>
  <c r="J23" i="10"/>
  <c r="J21" i="10"/>
  <c r="E21" i="10"/>
  <c r="J54" i="10" s="1"/>
  <c r="J20" i="10"/>
  <c r="J18" i="10"/>
  <c r="E18" i="10"/>
  <c r="F83" i="10" s="1"/>
  <c r="J17" i="10"/>
  <c r="J15" i="10"/>
  <c r="E15" i="10"/>
  <c r="F82" i="10" s="1"/>
  <c r="J14" i="10"/>
  <c r="J12" i="10"/>
  <c r="J52" i="10" s="1"/>
  <c r="BI151" i="9"/>
  <c r="BH151" i="9"/>
  <c r="BG151" i="9"/>
  <c r="BE151" i="9"/>
  <c r="H151" i="9"/>
  <c r="R151" i="9" s="1"/>
  <c r="BI149" i="9"/>
  <c r="BH149" i="9"/>
  <c r="BG149" i="9"/>
  <c r="BE149" i="9"/>
  <c r="H149" i="9"/>
  <c r="R149" i="9" s="1"/>
  <c r="BI148" i="9"/>
  <c r="BH148" i="9"/>
  <c r="BG148" i="9"/>
  <c r="BE148" i="9"/>
  <c r="H148" i="9"/>
  <c r="R148" i="9" s="1"/>
  <c r="R147" i="9" s="1"/>
  <c r="R146" i="9" s="1"/>
  <c r="BK144" i="9"/>
  <c r="BK143" i="9" s="1"/>
  <c r="BK142" i="9" s="1"/>
  <c r="BI144" i="9"/>
  <c r="BH144" i="9"/>
  <c r="BG144" i="9"/>
  <c r="BF144" i="9"/>
  <c r="BE144" i="9"/>
  <c r="T144" i="9"/>
  <c r="T143" i="9" s="1"/>
  <c r="T142" i="9" s="1"/>
  <c r="R144" i="9"/>
  <c r="P144" i="9"/>
  <c r="P143" i="9" s="1"/>
  <c r="P142" i="9" s="1"/>
  <c r="J144" i="9"/>
  <c r="R143" i="9"/>
  <c r="R142" i="9" s="1"/>
  <c r="J143" i="9"/>
  <c r="J142" i="9" s="1"/>
  <c r="H141" i="9"/>
  <c r="J141" i="9" s="1"/>
  <c r="BK138" i="9"/>
  <c r="BI138" i="9"/>
  <c r="BH138" i="9"/>
  <c r="BG138" i="9"/>
  <c r="BE138" i="9"/>
  <c r="T138" i="9"/>
  <c r="R138" i="9"/>
  <c r="P138" i="9"/>
  <c r="J138" i="9"/>
  <c r="BF138" i="9" s="1"/>
  <c r="BK136" i="9"/>
  <c r="BK134" i="9" s="1"/>
  <c r="BI136" i="9"/>
  <c r="BH136" i="9"/>
  <c r="BG136" i="9"/>
  <c r="BE136" i="9"/>
  <c r="T136" i="9"/>
  <c r="R136" i="9"/>
  <c r="P136" i="9"/>
  <c r="J136" i="9"/>
  <c r="BF136" i="9" s="1"/>
  <c r="BK135" i="9"/>
  <c r="BI135" i="9"/>
  <c r="F37" i="9" s="1"/>
  <c r="BH135" i="9"/>
  <c r="BG135" i="9"/>
  <c r="F35" i="9" s="1"/>
  <c r="BE135" i="9"/>
  <c r="T135" i="9"/>
  <c r="T134" i="9" s="1"/>
  <c r="R135" i="9"/>
  <c r="P135" i="9"/>
  <c r="P134" i="9" s="1"/>
  <c r="J135" i="9"/>
  <c r="BF135" i="9" s="1"/>
  <c r="BI133" i="9"/>
  <c r="BH133" i="9"/>
  <c r="BG133" i="9"/>
  <c r="BE133" i="9"/>
  <c r="J132" i="9"/>
  <c r="BK131" i="9"/>
  <c r="BI131" i="9"/>
  <c r="BH131" i="9"/>
  <c r="BG131" i="9"/>
  <c r="BF131" i="9"/>
  <c r="BE131" i="9"/>
  <c r="T131" i="9"/>
  <c r="R131" i="9"/>
  <c r="P131" i="9"/>
  <c r="J131" i="9"/>
  <c r="H130" i="9"/>
  <c r="H129" i="9"/>
  <c r="BI127" i="9"/>
  <c r="BH127" i="9"/>
  <c r="BG127" i="9"/>
  <c r="BE127" i="9"/>
  <c r="H127" i="9"/>
  <c r="R127" i="9" s="1"/>
  <c r="BI125" i="9"/>
  <c r="BH125" i="9"/>
  <c r="BG125" i="9"/>
  <c r="BE125" i="9"/>
  <c r="J125" i="9"/>
  <c r="BF125" i="9" s="1"/>
  <c r="H125" i="9"/>
  <c r="BK125" i="9" s="1"/>
  <c r="H123" i="9"/>
  <c r="H122" i="9"/>
  <c r="H121" i="9"/>
  <c r="BI120" i="9"/>
  <c r="BH120" i="9"/>
  <c r="BG120" i="9"/>
  <c r="BE120" i="9"/>
  <c r="BK119" i="9"/>
  <c r="BI119" i="9"/>
  <c r="BH119" i="9"/>
  <c r="BG119" i="9"/>
  <c r="BE119" i="9"/>
  <c r="T119" i="9"/>
  <c r="R119" i="9"/>
  <c r="P119" i="9"/>
  <c r="J119" i="9"/>
  <c r="BF119" i="9" s="1"/>
  <c r="BK118" i="9"/>
  <c r="BI118" i="9"/>
  <c r="BH118" i="9"/>
  <c r="BG118" i="9"/>
  <c r="BE118" i="9"/>
  <c r="T118" i="9"/>
  <c r="R118" i="9"/>
  <c r="P118" i="9"/>
  <c r="J118" i="9"/>
  <c r="BF118" i="9" s="1"/>
  <c r="BK117" i="9"/>
  <c r="BI117" i="9"/>
  <c r="BH117" i="9"/>
  <c r="BG117" i="9"/>
  <c r="BE117" i="9"/>
  <c r="T117" i="9"/>
  <c r="R117" i="9"/>
  <c r="P117" i="9"/>
  <c r="J117" i="9"/>
  <c r="BF117" i="9" s="1"/>
  <c r="BI115" i="9"/>
  <c r="BH115" i="9"/>
  <c r="BG115" i="9"/>
  <c r="BE115" i="9"/>
  <c r="BI114" i="9"/>
  <c r="BH114" i="9"/>
  <c r="BG114" i="9"/>
  <c r="BE114" i="9"/>
  <c r="R114" i="9"/>
  <c r="H114" i="9"/>
  <c r="BK113" i="9"/>
  <c r="BI113" i="9"/>
  <c r="BH113" i="9"/>
  <c r="BG113" i="9"/>
  <c r="BE113" i="9"/>
  <c r="T113" i="9"/>
  <c r="R113" i="9"/>
  <c r="P113" i="9"/>
  <c r="J113" i="9"/>
  <c r="BI111" i="9"/>
  <c r="BH111" i="9"/>
  <c r="BG111" i="9"/>
  <c r="BE111" i="9"/>
  <c r="BK110" i="9"/>
  <c r="BI110" i="9"/>
  <c r="BH110" i="9"/>
  <c r="BG110" i="9"/>
  <c r="BE110" i="9"/>
  <c r="T110" i="9"/>
  <c r="R110" i="9"/>
  <c r="P110" i="9"/>
  <c r="J110" i="9"/>
  <c r="BF110" i="9" s="1"/>
  <c r="BK109" i="9"/>
  <c r="BI109" i="9"/>
  <c r="BH109" i="9"/>
  <c r="BG109" i="9"/>
  <c r="BE109" i="9"/>
  <c r="T109" i="9"/>
  <c r="R109" i="9"/>
  <c r="P109" i="9"/>
  <c r="J109" i="9"/>
  <c r="BF109" i="9" s="1"/>
  <c r="BK108" i="9"/>
  <c r="BI108" i="9"/>
  <c r="BH108" i="9"/>
  <c r="BG108" i="9"/>
  <c r="BE108" i="9"/>
  <c r="T108" i="9"/>
  <c r="R108" i="9"/>
  <c r="P108" i="9"/>
  <c r="J108" i="9"/>
  <c r="BF108" i="9" s="1"/>
  <c r="BI107" i="9"/>
  <c r="BH107" i="9"/>
  <c r="BG107" i="9"/>
  <c r="BE107" i="9"/>
  <c r="H106" i="9"/>
  <c r="BI105" i="9"/>
  <c r="BH105" i="9"/>
  <c r="BG105" i="9"/>
  <c r="BE105" i="9"/>
  <c r="H105" i="9"/>
  <c r="R105" i="9" s="1"/>
  <c r="BK104" i="9"/>
  <c r="BI104" i="9"/>
  <c r="BH104" i="9"/>
  <c r="BG104" i="9"/>
  <c r="BE104" i="9"/>
  <c r="T104" i="9"/>
  <c r="R104" i="9"/>
  <c r="P104" i="9"/>
  <c r="J104" i="9"/>
  <c r="BF104" i="9" s="1"/>
  <c r="BK103" i="9"/>
  <c r="BI103" i="9"/>
  <c r="BH103" i="9"/>
  <c r="BG103" i="9"/>
  <c r="BE103" i="9"/>
  <c r="T103" i="9"/>
  <c r="R103" i="9"/>
  <c r="P103" i="9"/>
  <c r="J103" i="9"/>
  <c r="BF103" i="9" s="1"/>
  <c r="BK101" i="9"/>
  <c r="BI101" i="9"/>
  <c r="BH101" i="9"/>
  <c r="BG101" i="9"/>
  <c r="BE101" i="9"/>
  <c r="T101" i="9"/>
  <c r="R101" i="9"/>
  <c r="P101" i="9"/>
  <c r="J101" i="9"/>
  <c r="BF101" i="9" s="1"/>
  <c r="BI100" i="9"/>
  <c r="BH100" i="9"/>
  <c r="BG100" i="9"/>
  <c r="BE100" i="9"/>
  <c r="BI99" i="9"/>
  <c r="BH99" i="9"/>
  <c r="BG99" i="9"/>
  <c r="BE99" i="9"/>
  <c r="H99" i="9"/>
  <c r="H150" i="9" s="1"/>
  <c r="J150" i="9" s="1"/>
  <c r="BK96" i="9"/>
  <c r="BK95" i="9" s="1"/>
  <c r="BI96" i="9"/>
  <c r="BH96" i="9"/>
  <c r="BG96" i="9"/>
  <c r="BE96" i="9"/>
  <c r="T96" i="9"/>
  <c r="R96" i="9"/>
  <c r="R95" i="9" s="1"/>
  <c r="P96" i="9"/>
  <c r="P95" i="9" s="1"/>
  <c r="J96" i="9"/>
  <c r="BF96" i="9" s="1"/>
  <c r="T95" i="9"/>
  <c r="BK93" i="9"/>
  <c r="BI93" i="9"/>
  <c r="BH93" i="9"/>
  <c r="BG93" i="9"/>
  <c r="BF93" i="9"/>
  <c r="BE93" i="9"/>
  <c r="T93" i="9"/>
  <c r="R93" i="9"/>
  <c r="P93" i="9"/>
  <c r="J93" i="9"/>
  <c r="BK92" i="9"/>
  <c r="BI92" i="9"/>
  <c r="BH92" i="9"/>
  <c r="F36" i="9" s="1"/>
  <c r="BG92" i="9"/>
  <c r="BF92" i="9"/>
  <c r="BE92" i="9"/>
  <c r="T92" i="9"/>
  <c r="T91" i="9" s="1"/>
  <c r="T90" i="9" s="1"/>
  <c r="R92" i="9"/>
  <c r="P92" i="9"/>
  <c r="J92" i="9"/>
  <c r="BK91" i="9"/>
  <c r="R91" i="9"/>
  <c r="R90" i="9" s="1"/>
  <c r="J91" i="9"/>
  <c r="J61" i="9" s="1"/>
  <c r="F83" i="9"/>
  <c r="J69" i="9"/>
  <c r="F52" i="9"/>
  <c r="E50" i="9"/>
  <c r="J37" i="9"/>
  <c r="J36" i="9"/>
  <c r="J35" i="9"/>
  <c r="J24" i="9"/>
  <c r="E24" i="9"/>
  <c r="J86" i="9" s="1"/>
  <c r="J23" i="9"/>
  <c r="J21" i="9"/>
  <c r="E21" i="9"/>
  <c r="J85" i="9" s="1"/>
  <c r="J20" i="9"/>
  <c r="J18" i="9"/>
  <c r="E18" i="9"/>
  <c r="F86" i="9" s="1"/>
  <c r="J17" i="9"/>
  <c r="J15" i="9"/>
  <c r="E15" i="9"/>
  <c r="F85" i="9" s="1"/>
  <c r="J14" i="9"/>
  <c r="J12" i="9"/>
  <c r="J83" i="9" s="1"/>
  <c r="E79" i="9"/>
  <c r="BK138" i="8"/>
  <c r="BK137" i="8" s="1"/>
  <c r="BI138" i="8"/>
  <c r="BH138" i="8"/>
  <c r="BG138" i="8"/>
  <c r="BE138" i="8"/>
  <c r="T138" i="8"/>
  <c r="T137" i="8" s="1"/>
  <c r="R138" i="8"/>
  <c r="R137" i="8" s="1"/>
  <c r="P138" i="8"/>
  <c r="P137" i="8" s="1"/>
  <c r="J138" i="8"/>
  <c r="BK136" i="8"/>
  <c r="BI136" i="8"/>
  <c r="BH136" i="8"/>
  <c r="BG136" i="8"/>
  <c r="BE136" i="8"/>
  <c r="T136" i="8"/>
  <c r="R136" i="8"/>
  <c r="P136" i="8"/>
  <c r="J136" i="8"/>
  <c r="BF136" i="8" s="1"/>
  <c r="BK135" i="8"/>
  <c r="J135" i="8"/>
  <c r="BK134" i="8"/>
  <c r="BI134" i="8"/>
  <c r="BH134" i="8"/>
  <c r="BG134" i="8"/>
  <c r="BE134" i="8"/>
  <c r="T134" i="8"/>
  <c r="T131" i="8" s="1"/>
  <c r="R134" i="8"/>
  <c r="P134" i="8"/>
  <c r="J134" i="8"/>
  <c r="BF134" i="8" s="1"/>
  <c r="BK133" i="8"/>
  <c r="BK131" i="8" s="1"/>
  <c r="BI133" i="8"/>
  <c r="BH133" i="8"/>
  <c r="BG133" i="8"/>
  <c r="BE133" i="8"/>
  <c r="T133" i="8"/>
  <c r="R133" i="8"/>
  <c r="P133" i="8"/>
  <c r="P131" i="8" s="1"/>
  <c r="J133" i="8"/>
  <c r="BF133" i="8" s="1"/>
  <c r="BK132" i="8"/>
  <c r="BI132" i="8"/>
  <c r="BH132" i="8"/>
  <c r="BG132" i="8"/>
  <c r="BE132" i="8"/>
  <c r="T132" i="8"/>
  <c r="R132" i="8"/>
  <c r="P132" i="8"/>
  <c r="J132" i="8"/>
  <c r="BF132" i="8" s="1"/>
  <c r="R131" i="8"/>
  <c r="BI130" i="8"/>
  <c r="BH130" i="8"/>
  <c r="BG130" i="8"/>
  <c r="BE130" i="8"/>
  <c r="H130" i="8"/>
  <c r="R130" i="8" s="1"/>
  <c r="BI129" i="8"/>
  <c r="BH129" i="8"/>
  <c r="BG129" i="8"/>
  <c r="BE129" i="8"/>
  <c r="R129" i="8"/>
  <c r="J129" i="8"/>
  <c r="BF129" i="8" s="1"/>
  <c r="H129" i="8"/>
  <c r="BK129" i="8" s="1"/>
  <c r="BI127" i="8"/>
  <c r="BH127" i="8"/>
  <c r="BG127" i="8"/>
  <c r="BE127" i="8"/>
  <c r="H127" i="8"/>
  <c r="R127" i="8" s="1"/>
  <c r="BK125" i="8"/>
  <c r="BI125" i="8"/>
  <c r="BH125" i="8"/>
  <c r="BG125" i="8"/>
  <c r="BE125" i="8"/>
  <c r="T125" i="8"/>
  <c r="R125" i="8"/>
  <c r="P125" i="8"/>
  <c r="J125" i="8"/>
  <c r="BF125" i="8" s="1"/>
  <c r="BK124" i="8"/>
  <c r="BI124" i="8"/>
  <c r="BH124" i="8"/>
  <c r="BG124" i="8"/>
  <c r="BE124" i="8"/>
  <c r="T124" i="8"/>
  <c r="R124" i="8"/>
  <c r="P124" i="8"/>
  <c r="J124" i="8"/>
  <c r="BF124" i="8" s="1"/>
  <c r="BK123" i="8"/>
  <c r="BI123" i="8"/>
  <c r="BH123" i="8"/>
  <c r="BG123" i="8"/>
  <c r="BE123" i="8"/>
  <c r="T123" i="8"/>
  <c r="R123" i="8"/>
  <c r="P123" i="8"/>
  <c r="J123" i="8"/>
  <c r="BF123" i="8" s="1"/>
  <c r="BK122" i="8"/>
  <c r="BI122" i="8"/>
  <c r="BH122" i="8"/>
  <c r="BG122" i="8"/>
  <c r="BE122" i="8"/>
  <c r="T122" i="8"/>
  <c r="R122" i="8"/>
  <c r="P122" i="8"/>
  <c r="J122" i="8"/>
  <c r="BF122" i="8" s="1"/>
  <c r="BK121" i="8"/>
  <c r="BI121" i="8"/>
  <c r="BH121" i="8"/>
  <c r="BG121" i="8"/>
  <c r="BE121" i="8"/>
  <c r="T121" i="8"/>
  <c r="R121" i="8"/>
  <c r="P121" i="8"/>
  <c r="J121" i="8"/>
  <c r="BF121" i="8" s="1"/>
  <c r="BK117" i="8"/>
  <c r="BI117" i="8"/>
  <c r="BH117" i="8"/>
  <c r="BG117" i="8"/>
  <c r="BE117" i="8"/>
  <c r="T117" i="8"/>
  <c r="R117" i="8"/>
  <c r="P117" i="8"/>
  <c r="J117" i="8"/>
  <c r="BF117" i="8" s="1"/>
  <c r="BK115" i="8"/>
  <c r="BI115" i="8"/>
  <c r="BH115" i="8"/>
  <c r="BG115" i="8"/>
  <c r="BE115" i="8"/>
  <c r="T115" i="8"/>
  <c r="R115" i="8"/>
  <c r="P115" i="8"/>
  <c r="J115" i="8"/>
  <c r="BF115" i="8" s="1"/>
  <c r="BK113" i="8"/>
  <c r="BI113" i="8"/>
  <c r="BH113" i="8"/>
  <c r="BG113" i="8"/>
  <c r="BE113" i="8"/>
  <c r="T113" i="8"/>
  <c r="R113" i="8"/>
  <c r="P113" i="8"/>
  <c r="J113" i="8"/>
  <c r="BF113" i="8" s="1"/>
  <c r="BK112" i="8"/>
  <c r="BI112" i="8"/>
  <c r="BH112" i="8"/>
  <c r="BG112" i="8"/>
  <c r="BE112" i="8"/>
  <c r="T112" i="8"/>
  <c r="R112" i="8"/>
  <c r="P112" i="8"/>
  <c r="J112" i="8"/>
  <c r="BF112" i="8" s="1"/>
  <c r="BK111" i="8"/>
  <c r="BI111" i="8"/>
  <c r="BH111" i="8"/>
  <c r="BG111" i="8"/>
  <c r="BE111" i="8"/>
  <c r="T111" i="8"/>
  <c r="R111" i="8"/>
  <c r="P111" i="8"/>
  <c r="J111" i="8"/>
  <c r="BF111" i="8" s="1"/>
  <c r="BI109" i="8"/>
  <c r="BH109" i="8"/>
  <c r="BG109" i="8"/>
  <c r="BE109" i="8"/>
  <c r="BI108" i="8"/>
  <c r="BH108" i="8"/>
  <c r="BG108" i="8"/>
  <c r="BE108" i="8"/>
  <c r="BI106" i="8"/>
  <c r="BH106" i="8"/>
  <c r="BG106" i="8"/>
  <c r="BE106" i="8"/>
  <c r="BI105" i="8"/>
  <c r="BH105" i="8"/>
  <c r="BG105" i="8"/>
  <c r="BE105" i="8"/>
  <c r="BI104" i="8"/>
  <c r="BH104" i="8"/>
  <c r="BG104" i="8"/>
  <c r="BE104" i="8"/>
  <c r="BK102" i="8"/>
  <c r="BI102" i="8"/>
  <c r="BH102" i="8"/>
  <c r="BG102" i="8"/>
  <c r="BE102" i="8"/>
  <c r="T102" i="8"/>
  <c r="R102" i="8"/>
  <c r="P102" i="8"/>
  <c r="J102" i="8"/>
  <c r="BF102" i="8" s="1"/>
  <c r="BK100" i="8"/>
  <c r="BI100" i="8"/>
  <c r="BH100" i="8"/>
  <c r="BG100" i="8"/>
  <c r="BE100" i="8"/>
  <c r="T100" i="8"/>
  <c r="R100" i="8"/>
  <c r="P100" i="8"/>
  <c r="J100" i="8"/>
  <c r="BF100" i="8" s="1"/>
  <c r="BI98" i="8"/>
  <c r="BH98" i="8"/>
  <c r="BG98" i="8"/>
  <c r="BE98" i="8"/>
  <c r="BI97" i="8"/>
  <c r="BH97" i="8"/>
  <c r="BG97" i="8"/>
  <c r="BE97" i="8"/>
  <c r="H97" i="8"/>
  <c r="BK97" i="8" s="1"/>
  <c r="BK96" i="8"/>
  <c r="BI96" i="8"/>
  <c r="BH96" i="8"/>
  <c r="BG96" i="8"/>
  <c r="BE96" i="8"/>
  <c r="T96" i="8"/>
  <c r="R96" i="8"/>
  <c r="P96" i="8"/>
  <c r="J96" i="8"/>
  <c r="BF96" i="8" s="1"/>
  <c r="J95" i="8"/>
  <c r="BI92" i="8"/>
  <c r="BH92" i="8"/>
  <c r="BG92" i="8"/>
  <c r="BE92" i="8"/>
  <c r="BK90" i="8"/>
  <c r="BI90" i="8"/>
  <c r="BH90" i="8"/>
  <c r="BG90" i="8"/>
  <c r="BE90" i="8"/>
  <c r="T90" i="8"/>
  <c r="R90" i="8"/>
  <c r="P90" i="8"/>
  <c r="J90" i="8"/>
  <c r="BF90" i="8" s="1"/>
  <c r="BI89" i="8"/>
  <c r="F37" i="8" s="1"/>
  <c r="BH89" i="8"/>
  <c r="BG89" i="8"/>
  <c r="BE89" i="8"/>
  <c r="H89" i="8"/>
  <c r="H104" i="8" s="1"/>
  <c r="F80" i="8"/>
  <c r="F52" i="8"/>
  <c r="E50" i="8"/>
  <c r="J37" i="8"/>
  <c r="J36" i="8"/>
  <c r="J35" i="8"/>
  <c r="F35" i="8"/>
  <c r="J24" i="8"/>
  <c r="E24" i="8"/>
  <c r="J83" i="8" s="1"/>
  <c r="J23" i="8"/>
  <c r="J21" i="8"/>
  <c r="E21" i="8"/>
  <c r="J82" i="8" s="1"/>
  <c r="J20" i="8"/>
  <c r="J18" i="8"/>
  <c r="E18" i="8"/>
  <c r="F55" i="8" s="1"/>
  <c r="J17" i="8"/>
  <c r="J15" i="8"/>
  <c r="E15" i="8"/>
  <c r="F54" i="8" s="1"/>
  <c r="J14" i="8"/>
  <c r="J12" i="8"/>
  <c r="J80" i="8" s="1"/>
  <c r="BI151" i="7"/>
  <c r="BH151" i="7"/>
  <c r="BG151" i="7"/>
  <c r="BE151" i="7"/>
  <c r="H151" i="7"/>
  <c r="R151" i="7" s="1"/>
  <c r="BI149" i="7"/>
  <c r="BH149" i="7"/>
  <c r="BG149" i="7"/>
  <c r="BE149" i="7"/>
  <c r="H149" i="7"/>
  <c r="R149" i="7" s="1"/>
  <c r="BI148" i="7"/>
  <c r="BH148" i="7"/>
  <c r="BG148" i="7"/>
  <c r="BE148" i="7"/>
  <c r="H148" i="7"/>
  <c r="R148" i="7" s="1"/>
  <c r="R147" i="7" s="1"/>
  <c r="R146" i="7" s="1"/>
  <c r="BK144" i="7"/>
  <c r="BK143" i="7" s="1"/>
  <c r="BK142" i="7" s="1"/>
  <c r="BI144" i="7"/>
  <c r="BH144" i="7"/>
  <c r="BG144" i="7"/>
  <c r="BE144" i="7"/>
  <c r="T144" i="7"/>
  <c r="R144" i="7"/>
  <c r="R143" i="7" s="1"/>
  <c r="R142" i="7" s="1"/>
  <c r="P144" i="7"/>
  <c r="J144" i="7"/>
  <c r="BF144" i="7" s="1"/>
  <c r="T143" i="7"/>
  <c r="T142" i="7" s="1"/>
  <c r="P143" i="7"/>
  <c r="P142" i="7" s="1"/>
  <c r="H141" i="7"/>
  <c r="J141" i="7" s="1"/>
  <c r="BK139" i="7"/>
  <c r="BI139" i="7"/>
  <c r="BH139" i="7"/>
  <c r="BG139" i="7"/>
  <c r="BE139" i="7"/>
  <c r="T139" i="7"/>
  <c r="R139" i="7"/>
  <c r="P139" i="7"/>
  <c r="J139" i="7"/>
  <c r="BF139" i="7" s="1"/>
  <c r="BK137" i="7"/>
  <c r="BI137" i="7"/>
  <c r="BH137" i="7"/>
  <c r="BG137" i="7"/>
  <c r="BE137" i="7"/>
  <c r="T137" i="7"/>
  <c r="R137" i="7"/>
  <c r="P137" i="7"/>
  <c r="J137" i="7"/>
  <c r="BF137" i="7" s="1"/>
  <c r="BK136" i="7"/>
  <c r="BK135" i="7" s="1"/>
  <c r="BI136" i="7"/>
  <c r="BH136" i="7"/>
  <c r="BG136" i="7"/>
  <c r="BE136" i="7"/>
  <c r="T136" i="7"/>
  <c r="R136" i="7"/>
  <c r="R135" i="7" s="1"/>
  <c r="P136" i="7"/>
  <c r="J136" i="7"/>
  <c r="BF136" i="7" s="1"/>
  <c r="BI134" i="7"/>
  <c r="BH134" i="7"/>
  <c r="BG134" i="7"/>
  <c r="BE134" i="7"/>
  <c r="J133" i="7"/>
  <c r="BI132" i="7"/>
  <c r="BH132" i="7"/>
  <c r="BG132" i="7"/>
  <c r="BE132" i="7"/>
  <c r="BI131" i="7"/>
  <c r="BH131" i="7"/>
  <c r="BG131" i="7"/>
  <c r="BE131" i="7"/>
  <c r="H131" i="7"/>
  <c r="BK131" i="7" s="1"/>
  <c r="BI129" i="7"/>
  <c r="BH129" i="7"/>
  <c r="BG129" i="7"/>
  <c r="BE129" i="7"/>
  <c r="J129" i="7"/>
  <c r="BF129" i="7" s="1"/>
  <c r="H129" i="7"/>
  <c r="BK129" i="7" s="1"/>
  <c r="BI127" i="7"/>
  <c r="BH127" i="7"/>
  <c r="BG127" i="7"/>
  <c r="BE127" i="7"/>
  <c r="H127" i="7"/>
  <c r="BK127" i="7" s="1"/>
  <c r="BI126" i="7"/>
  <c r="BH126" i="7"/>
  <c r="BG126" i="7"/>
  <c r="BE126" i="7"/>
  <c r="J126" i="7"/>
  <c r="BF126" i="7" s="1"/>
  <c r="H126" i="7"/>
  <c r="BK126" i="7" s="1"/>
  <c r="BK125" i="7"/>
  <c r="BI125" i="7"/>
  <c r="BH125" i="7"/>
  <c r="BG125" i="7"/>
  <c r="BF125" i="7"/>
  <c r="BE125" i="7"/>
  <c r="T125" i="7"/>
  <c r="R125" i="7"/>
  <c r="P125" i="7"/>
  <c r="J125" i="7"/>
  <c r="BI124" i="7"/>
  <c r="BH124" i="7"/>
  <c r="BG124" i="7"/>
  <c r="BE124" i="7"/>
  <c r="H124" i="7"/>
  <c r="BI122" i="7"/>
  <c r="BH122" i="7"/>
  <c r="BG122" i="7"/>
  <c r="BE122" i="7"/>
  <c r="BK121" i="7"/>
  <c r="BI121" i="7"/>
  <c r="BH121" i="7"/>
  <c r="BG121" i="7"/>
  <c r="BE121" i="7"/>
  <c r="T121" i="7"/>
  <c r="R121" i="7"/>
  <c r="P121" i="7"/>
  <c r="J121" i="7"/>
  <c r="BF121" i="7" s="1"/>
  <c r="BI120" i="7"/>
  <c r="BH120" i="7"/>
  <c r="BG120" i="7"/>
  <c r="BE120" i="7"/>
  <c r="BI119" i="7"/>
  <c r="BH119" i="7"/>
  <c r="BG119" i="7"/>
  <c r="BE119" i="7"/>
  <c r="H119" i="7"/>
  <c r="BK119" i="7" s="1"/>
  <c r="BI117" i="7"/>
  <c r="BH117" i="7"/>
  <c r="BG117" i="7"/>
  <c r="BE117" i="7"/>
  <c r="BK116" i="7"/>
  <c r="BI116" i="7"/>
  <c r="BH116" i="7"/>
  <c r="BG116" i="7"/>
  <c r="BE116" i="7"/>
  <c r="T116" i="7"/>
  <c r="R116" i="7"/>
  <c r="P116" i="7"/>
  <c r="J116" i="7"/>
  <c r="BF116" i="7" s="1"/>
  <c r="BK115" i="7"/>
  <c r="BI115" i="7"/>
  <c r="BH115" i="7"/>
  <c r="BG115" i="7"/>
  <c r="BE115" i="7"/>
  <c r="T115" i="7"/>
  <c r="R115" i="7"/>
  <c r="P115" i="7"/>
  <c r="J115" i="7"/>
  <c r="BF115" i="7" s="1"/>
  <c r="BK114" i="7"/>
  <c r="BI114" i="7"/>
  <c r="BH114" i="7"/>
  <c r="BG114" i="7"/>
  <c r="BE114" i="7"/>
  <c r="T114" i="7"/>
  <c r="R114" i="7"/>
  <c r="P114" i="7"/>
  <c r="J114" i="7"/>
  <c r="BF114" i="7" s="1"/>
  <c r="BK113" i="7"/>
  <c r="BI113" i="7"/>
  <c r="BH113" i="7"/>
  <c r="BG113" i="7"/>
  <c r="BE113" i="7"/>
  <c r="T113" i="7"/>
  <c r="R113" i="7"/>
  <c r="P113" i="7"/>
  <c r="J113" i="7"/>
  <c r="BF113" i="7" s="1"/>
  <c r="BI112" i="7"/>
  <c r="BH112" i="7"/>
  <c r="BG112" i="7"/>
  <c r="BE112" i="7"/>
  <c r="BI111" i="7"/>
  <c r="BH111" i="7"/>
  <c r="BG111" i="7"/>
  <c r="BE111" i="7"/>
  <c r="BI109" i="7"/>
  <c r="BH109" i="7"/>
  <c r="BG109" i="7"/>
  <c r="BE109" i="7"/>
  <c r="BI108" i="7"/>
  <c r="BH108" i="7"/>
  <c r="BG108" i="7"/>
  <c r="BE108" i="7"/>
  <c r="H108" i="7"/>
  <c r="BI107" i="7"/>
  <c r="BH107" i="7"/>
  <c r="BG107" i="7"/>
  <c r="BE107" i="7"/>
  <c r="H107" i="7"/>
  <c r="BK107" i="7" s="1"/>
  <c r="BK105" i="7"/>
  <c r="BI105" i="7"/>
  <c r="BH105" i="7"/>
  <c r="BG105" i="7"/>
  <c r="BE105" i="7"/>
  <c r="T105" i="7"/>
  <c r="R105" i="7"/>
  <c r="P105" i="7"/>
  <c r="J105" i="7"/>
  <c r="BF105" i="7" s="1"/>
  <c r="BI103" i="7"/>
  <c r="BH103" i="7"/>
  <c r="BG103" i="7"/>
  <c r="BE103" i="7"/>
  <c r="BI102" i="7"/>
  <c r="BH102" i="7"/>
  <c r="BG102" i="7"/>
  <c r="BE102" i="7"/>
  <c r="J33" i="7" s="1"/>
  <c r="BK99" i="7"/>
  <c r="BI99" i="7"/>
  <c r="BH99" i="7"/>
  <c r="BG99" i="7"/>
  <c r="BF99" i="7"/>
  <c r="BE99" i="7"/>
  <c r="T99" i="7"/>
  <c r="T98" i="7" s="1"/>
  <c r="R99" i="7"/>
  <c r="P99" i="7"/>
  <c r="P98" i="7" s="1"/>
  <c r="J99" i="7"/>
  <c r="BK98" i="7"/>
  <c r="R98" i="7"/>
  <c r="J98" i="7"/>
  <c r="J62" i="7" s="1"/>
  <c r="BI96" i="7"/>
  <c r="BH96" i="7"/>
  <c r="BG96" i="7"/>
  <c r="BE96" i="7"/>
  <c r="J96" i="7"/>
  <c r="BF96" i="7" s="1"/>
  <c r="H96" i="7"/>
  <c r="BK96" i="7" s="1"/>
  <c r="BI95" i="7"/>
  <c r="BH95" i="7"/>
  <c r="BG95" i="7"/>
  <c r="BE95" i="7"/>
  <c r="H95" i="7"/>
  <c r="BK95" i="7" s="1"/>
  <c r="BI94" i="7"/>
  <c r="BH94" i="7"/>
  <c r="BG94" i="7"/>
  <c r="BE94" i="7"/>
  <c r="J94" i="7"/>
  <c r="BF94" i="7" s="1"/>
  <c r="H94" i="7"/>
  <c r="BK94" i="7" s="1"/>
  <c r="BK93" i="7"/>
  <c r="BI93" i="7"/>
  <c r="BH93" i="7"/>
  <c r="BG93" i="7"/>
  <c r="BF93" i="7"/>
  <c r="BE93" i="7"/>
  <c r="T93" i="7"/>
  <c r="R93" i="7"/>
  <c r="P93" i="7"/>
  <c r="J93" i="7"/>
  <c r="BK92" i="7"/>
  <c r="BI92" i="7"/>
  <c r="BH92" i="7"/>
  <c r="F36" i="7" s="1"/>
  <c r="BG92" i="7"/>
  <c r="BF92" i="7"/>
  <c r="BE92" i="7"/>
  <c r="T92" i="7"/>
  <c r="R92" i="7"/>
  <c r="P92" i="7"/>
  <c r="J92" i="7"/>
  <c r="F83" i="7"/>
  <c r="F52" i="7"/>
  <c r="E50" i="7"/>
  <c r="J37" i="7"/>
  <c r="J36" i="7"/>
  <c r="J35" i="7"/>
  <c r="J24" i="7"/>
  <c r="E24" i="7"/>
  <c r="J86" i="7" s="1"/>
  <c r="J23" i="7"/>
  <c r="J21" i="7"/>
  <c r="E21" i="7"/>
  <c r="J85" i="7" s="1"/>
  <c r="J20" i="7"/>
  <c r="J18" i="7"/>
  <c r="E18" i="7"/>
  <c r="F86" i="7" s="1"/>
  <c r="J17" i="7"/>
  <c r="J15" i="7"/>
  <c r="E15" i="7"/>
  <c r="F85" i="7" s="1"/>
  <c r="J14" i="7"/>
  <c r="J12" i="7"/>
  <c r="J83" i="7" s="1"/>
  <c r="BK135" i="6"/>
  <c r="BI135" i="6"/>
  <c r="BH135" i="6"/>
  <c r="BG135" i="6"/>
  <c r="BE135" i="6"/>
  <c r="T135" i="6"/>
  <c r="R135" i="6"/>
  <c r="P135" i="6"/>
  <c r="J135" i="6"/>
  <c r="BF135" i="6" s="1"/>
  <c r="BK134" i="6"/>
  <c r="BI134" i="6"/>
  <c r="BH134" i="6"/>
  <c r="BG134" i="6"/>
  <c r="BE134" i="6"/>
  <c r="T134" i="6"/>
  <c r="R134" i="6"/>
  <c r="P134" i="6"/>
  <c r="P132" i="6" s="1"/>
  <c r="J134" i="6"/>
  <c r="BF134" i="6" s="1"/>
  <c r="BK133" i="6"/>
  <c r="BI133" i="6"/>
  <c r="BH133" i="6"/>
  <c r="BG133" i="6"/>
  <c r="BE133" i="6"/>
  <c r="T133" i="6"/>
  <c r="T132" i="6" s="1"/>
  <c r="R133" i="6"/>
  <c r="P133" i="6"/>
  <c r="J133" i="6"/>
  <c r="BF133" i="6" s="1"/>
  <c r="BK132" i="6"/>
  <c r="R132" i="6"/>
  <c r="BI131" i="6"/>
  <c r="BH131" i="6"/>
  <c r="BG131" i="6"/>
  <c r="BE131" i="6"/>
  <c r="H131" i="6"/>
  <c r="BK131" i="6" s="1"/>
  <c r="BI130" i="6"/>
  <c r="BH130" i="6"/>
  <c r="BG130" i="6"/>
  <c r="BE130" i="6"/>
  <c r="J130" i="6"/>
  <c r="BF130" i="6" s="1"/>
  <c r="H130" i="6"/>
  <c r="R130" i="6" s="1"/>
  <c r="H129" i="6"/>
  <c r="H127" i="6" s="1"/>
  <c r="BI127" i="6"/>
  <c r="BH127" i="6"/>
  <c r="BG127" i="6"/>
  <c r="BE127" i="6"/>
  <c r="J127" i="6"/>
  <c r="BF127" i="6" s="1"/>
  <c r="BK125" i="6"/>
  <c r="BI125" i="6"/>
  <c r="BH125" i="6"/>
  <c r="BG125" i="6"/>
  <c r="BF125" i="6"/>
  <c r="BE125" i="6"/>
  <c r="T125" i="6"/>
  <c r="R125" i="6"/>
  <c r="P125" i="6"/>
  <c r="J125" i="6"/>
  <c r="BK124" i="6"/>
  <c r="BI124" i="6"/>
  <c r="BH124" i="6"/>
  <c r="BG124" i="6"/>
  <c r="BF124" i="6"/>
  <c r="BE124" i="6"/>
  <c r="T124" i="6"/>
  <c r="R124" i="6"/>
  <c r="P124" i="6"/>
  <c r="J124" i="6"/>
  <c r="BK123" i="6"/>
  <c r="BI123" i="6"/>
  <c r="BH123" i="6"/>
  <c r="BG123" i="6"/>
  <c r="BF123" i="6"/>
  <c r="BE123" i="6"/>
  <c r="T123" i="6"/>
  <c r="R123" i="6"/>
  <c r="P123" i="6"/>
  <c r="J123" i="6"/>
  <c r="BK118" i="6"/>
  <c r="BI118" i="6"/>
  <c r="BH118" i="6"/>
  <c r="BG118" i="6"/>
  <c r="BF118" i="6"/>
  <c r="BE118" i="6"/>
  <c r="T118" i="6"/>
  <c r="R118" i="6"/>
  <c r="P118" i="6"/>
  <c r="J118" i="6"/>
  <c r="BK116" i="6"/>
  <c r="BI116" i="6"/>
  <c r="BH116" i="6"/>
  <c r="BG116" i="6"/>
  <c r="BF116" i="6"/>
  <c r="BE116" i="6"/>
  <c r="T116" i="6"/>
  <c r="R116" i="6"/>
  <c r="P116" i="6"/>
  <c r="J116" i="6"/>
  <c r="BI114" i="6"/>
  <c r="BH114" i="6"/>
  <c r="BG114" i="6"/>
  <c r="BE114" i="6"/>
  <c r="H114" i="6"/>
  <c r="BK114" i="6" s="1"/>
  <c r="BK113" i="6"/>
  <c r="BI113" i="6"/>
  <c r="BH113" i="6"/>
  <c r="BG113" i="6"/>
  <c r="BE113" i="6"/>
  <c r="T113" i="6"/>
  <c r="R113" i="6"/>
  <c r="P113" i="6"/>
  <c r="J113" i="6"/>
  <c r="BF113" i="6" s="1"/>
  <c r="BK112" i="6"/>
  <c r="BI112" i="6"/>
  <c r="BH112" i="6"/>
  <c r="BG112" i="6"/>
  <c r="BE112" i="6"/>
  <c r="T112" i="6"/>
  <c r="R112" i="6"/>
  <c r="P112" i="6"/>
  <c r="J112" i="6"/>
  <c r="BF112" i="6" s="1"/>
  <c r="BI110" i="6"/>
  <c r="BH110" i="6"/>
  <c r="BG110" i="6"/>
  <c r="BE110" i="6"/>
  <c r="BI109" i="6"/>
  <c r="BH109" i="6"/>
  <c r="BG109" i="6"/>
  <c r="BE109" i="6"/>
  <c r="BI107" i="6"/>
  <c r="BH107" i="6"/>
  <c r="BG107" i="6"/>
  <c r="BE107" i="6"/>
  <c r="BI106" i="6"/>
  <c r="BH106" i="6"/>
  <c r="BG106" i="6"/>
  <c r="BE106" i="6"/>
  <c r="BI105" i="6"/>
  <c r="BH105" i="6"/>
  <c r="BG105" i="6"/>
  <c r="BE105" i="6"/>
  <c r="J105" i="6"/>
  <c r="BF105" i="6" s="1"/>
  <c r="H105" i="6"/>
  <c r="H106" i="6" s="1"/>
  <c r="BK103" i="6"/>
  <c r="BI103" i="6"/>
  <c r="BH103" i="6"/>
  <c r="BG103" i="6"/>
  <c r="BF103" i="6"/>
  <c r="BE103" i="6"/>
  <c r="T103" i="6"/>
  <c r="R103" i="6"/>
  <c r="P103" i="6"/>
  <c r="J103" i="6"/>
  <c r="BK101" i="6"/>
  <c r="BI101" i="6"/>
  <c r="BH101" i="6"/>
  <c r="BG101" i="6"/>
  <c r="BF101" i="6"/>
  <c r="BE101" i="6"/>
  <c r="T101" i="6"/>
  <c r="R101" i="6"/>
  <c r="P101" i="6"/>
  <c r="J101" i="6"/>
  <c r="BI99" i="6"/>
  <c r="BH99" i="6"/>
  <c r="BG99" i="6"/>
  <c r="BE99" i="6"/>
  <c r="H99" i="6"/>
  <c r="BK99" i="6" s="1"/>
  <c r="BK97" i="6"/>
  <c r="BI97" i="6"/>
  <c r="BH97" i="6"/>
  <c r="BG97" i="6"/>
  <c r="BE97" i="6"/>
  <c r="T97" i="6"/>
  <c r="R97" i="6"/>
  <c r="P97" i="6"/>
  <c r="J97" i="6"/>
  <c r="BF97" i="6" s="1"/>
  <c r="BK96" i="6"/>
  <c r="BI96" i="6"/>
  <c r="BH96" i="6"/>
  <c r="BG96" i="6"/>
  <c r="BE96" i="6"/>
  <c r="T96" i="6"/>
  <c r="R96" i="6"/>
  <c r="P96" i="6"/>
  <c r="J96" i="6"/>
  <c r="BF96" i="6" s="1"/>
  <c r="J95" i="6"/>
  <c r="BK94" i="6"/>
  <c r="BI94" i="6"/>
  <c r="BH94" i="6"/>
  <c r="F36" i="6" s="1"/>
  <c r="BG94" i="6"/>
  <c r="BF94" i="6"/>
  <c r="BE94" i="6"/>
  <c r="T94" i="6"/>
  <c r="R94" i="6"/>
  <c r="P94" i="6"/>
  <c r="H92" i="6"/>
  <c r="H93" i="6" s="1"/>
  <c r="J93" i="6" s="1"/>
  <c r="BK91" i="6"/>
  <c r="BI91" i="6"/>
  <c r="BH91" i="6"/>
  <c r="BG91" i="6"/>
  <c r="BE91" i="6"/>
  <c r="T91" i="6"/>
  <c r="R91" i="6"/>
  <c r="P91" i="6"/>
  <c r="J91" i="6"/>
  <c r="BF91" i="6" s="1"/>
  <c r="BI89" i="6"/>
  <c r="BH89" i="6"/>
  <c r="BG89" i="6"/>
  <c r="BE89" i="6"/>
  <c r="H89" i="6"/>
  <c r="BK89" i="6" s="1"/>
  <c r="BK88" i="6" s="1"/>
  <c r="F80" i="6"/>
  <c r="J66" i="6"/>
  <c r="F52" i="6"/>
  <c r="E50" i="6"/>
  <c r="J37" i="6"/>
  <c r="F37" i="6"/>
  <c r="J36" i="6"/>
  <c r="J35" i="6"/>
  <c r="F35" i="6"/>
  <c r="J24" i="6"/>
  <c r="E24" i="6"/>
  <c r="J83" i="6" s="1"/>
  <c r="J23" i="6"/>
  <c r="J21" i="6"/>
  <c r="E21" i="6"/>
  <c r="J82" i="6" s="1"/>
  <c r="J20" i="6"/>
  <c r="J18" i="6"/>
  <c r="E18" i="6"/>
  <c r="F55" i="6" s="1"/>
  <c r="J17" i="6"/>
  <c r="J15" i="6"/>
  <c r="E15" i="6"/>
  <c r="F54" i="6" s="1"/>
  <c r="J14" i="6"/>
  <c r="J12" i="6"/>
  <c r="J80" i="6" s="1"/>
  <c r="BI153" i="5"/>
  <c r="BH153" i="5"/>
  <c r="BG153" i="5"/>
  <c r="BE153" i="5"/>
  <c r="H153" i="5"/>
  <c r="R153" i="5" s="1"/>
  <c r="BI151" i="5"/>
  <c r="BH151" i="5"/>
  <c r="BG151" i="5"/>
  <c r="BE151" i="5"/>
  <c r="H151" i="5"/>
  <c r="R151" i="5" s="1"/>
  <c r="BI150" i="5"/>
  <c r="BH150" i="5"/>
  <c r="BG150" i="5"/>
  <c r="BE150" i="5"/>
  <c r="H150" i="5"/>
  <c r="R150" i="5" s="1"/>
  <c r="R149" i="5" s="1"/>
  <c r="R148" i="5" s="1"/>
  <c r="BK146" i="5"/>
  <c r="BI146" i="5"/>
  <c r="BH146" i="5"/>
  <c r="BG146" i="5"/>
  <c r="BF146" i="5"/>
  <c r="BE146" i="5"/>
  <c r="T146" i="5"/>
  <c r="T145" i="5" s="1"/>
  <c r="T144" i="5" s="1"/>
  <c r="R146" i="5"/>
  <c r="P146" i="5"/>
  <c r="P145" i="5" s="1"/>
  <c r="P144" i="5" s="1"/>
  <c r="J146" i="5"/>
  <c r="BK145" i="5"/>
  <c r="BK144" i="5" s="1"/>
  <c r="R145" i="5"/>
  <c r="R144" i="5" s="1"/>
  <c r="J145" i="5"/>
  <c r="J144" i="5" s="1"/>
  <c r="H143" i="5"/>
  <c r="J143" i="5" s="1"/>
  <c r="BK140" i="5"/>
  <c r="BI140" i="5"/>
  <c r="BH140" i="5"/>
  <c r="BG140" i="5"/>
  <c r="BE140" i="5"/>
  <c r="T140" i="5"/>
  <c r="R140" i="5"/>
  <c r="P140" i="5"/>
  <c r="J140" i="5"/>
  <c r="BF140" i="5" s="1"/>
  <c r="BK138" i="5"/>
  <c r="BK136" i="5" s="1"/>
  <c r="BI138" i="5"/>
  <c r="BH138" i="5"/>
  <c r="BG138" i="5"/>
  <c r="BE138" i="5"/>
  <c r="T138" i="5"/>
  <c r="R138" i="5"/>
  <c r="R136" i="5" s="1"/>
  <c r="P138" i="5"/>
  <c r="J138" i="5"/>
  <c r="BF138" i="5" s="1"/>
  <c r="BK137" i="5"/>
  <c r="BI137" i="5"/>
  <c r="BH137" i="5"/>
  <c r="BG137" i="5"/>
  <c r="BE137" i="5"/>
  <c r="T137" i="5"/>
  <c r="T136" i="5" s="1"/>
  <c r="R137" i="5"/>
  <c r="P137" i="5"/>
  <c r="P136" i="5" s="1"/>
  <c r="J137" i="5"/>
  <c r="BF137" i="5" s="1"/>
  <c r="J136" i="5"/>
  <c r="J67" i="5" s="1"/>
  <c r="BI135" i="5"/>
  <c r="BH135" i="5"/>
  <c r="BG135" i="5"/>
  <c r="BE135" i="5"/>
  <c r="J134" i="5"/>
  <c r="BI133" i="5"/>
  <c r="BH133" i="5"/>
  <c r="BG133" i="5"/>
  <c r="BE133" i="5"/>
  <c r="BI132" i="5"/>
  <c r="BH132" i="5"/>
  <c r="BG132" i="5"/>
  <c r="BE132" i="5"/>
  <c r="J132" i="5"/>
  <c r="BF132" i="5" s="1"/>
  <c r="H132" i="5"/>
  <c r="BK132" i="5" s="1"/>
  <c r="BI130" i="5"/>
  <c r="BH130" i="5"/>
  <c r="BG130" i="5"/>
  <c r="BE130" i="5"/>
  <c r="H130" i="5"/>
  <c r="R130" i="5" s="1"/>
  <c r="H128" i="5"/>
  <c r="H127" i="5"/>
  <c r="H129" i="5" s="1"/>
  <c r="H126" i="5" s="1"/>
  <c r="BI126" i="5"/>
  <c r="BH126" i="5"/>
  <c r="BG126" i="5"/>
  <c r="BE126" i="5"/>
  <c r="BK125" i="5"/>
  <c r="BI125" i="5"/>
  <c r="BH125" i="5"/>
  <c r="BG125" i="5"/>
  <c r="BE125" i="5"/>
  <c r="T125" i="5"/>
  <c r="R125" i="5"/>
  <c r="P125" i="5"/>
  <c r="J125" i="5"/>
  <c r="BF125" i="5" s="1"/>
  <c r="BI124" i="5"/>
  <c r="BH124" i="5"/>
  <c r="BG124" i="5"/>
  <c r="BE124" i="5"/>
  <c r="R124" i="5"/>
  <c r="H124" i="5"/>
  <c r="BI122" i="5"/>
  <c r="BH122" i="5"/>
  <c r="BG122" i="5"/>
  <c r="BE122" i="5"/>
  <c r="BK121" i="5"/>
  <c r="BI121" i="5"/>
  <c r="BH121" i="5"/>
  <c r="BG121" i="5"/>
  <c r="BE121" i="5"/>
  <c r="T121" i="5"/>
  <c r="R121" i="5"/>
  <c r="P121" i="5"/>
  <c r="J121" i="5"/>
  <c r="BF121" i="5" s="1"/>
  <c r="BI120" i="5"/>
  <c r="BH120" i="5"/>
  <c r="BG120" i="5"/>
  <c r="BE120" i="5"/>
  <c r="BI119" i="5"/>
  <c r="BH119" i="5"/>
  <c r="BG119" i="5"/>
  <c r="BE119" i="5"/>
  <c r="J119" i="5"/>
  <c r="H119" i="5"/>
  <c r="BK119" i="5" s="1"/>
  <c r="BI117" i="5"/>
  <c r="BH117" i="5"/>
  <c r="BG117" i="5"/>
  <c r="BE117" i="5"/>
  <c r="BK116" i="5"/>
  <c r="BI116" i="5"/>
  <c r="BH116" i="5"/>
  <c r="BG116" i="5"/>
  <c r="BE116" i="5"/>
  <c r="T116" i="5"/>
  <c r="R116" i="5"/>
  <c r="P116" i="5"/>
  <c r="J116" i="5"/>
  <c r="BF116" i="5" s="1"/>
  <c r="BK115" i="5"/>
  <c r="BI115" i="5"/>
  <c r="BH115" i="5"/>
  <c r="BG115" i="5"/>
  <c r="BE115" i="5"/>
  <c r="T115" i="5"/>
  <c r="R115" i="5"/>
  <c r="P115" i="5"/>
  <c r="J115" i="5"/>
  <c r="BF115" i="5" s="1"/>
  <c r="BK114" i="5"/>
  <c r="BI114" i="5"/>
  <c r="BH114" i="5"/>
  <c r="BG114" i="5"/>
  <c r="BE114" i="5"/>
  <c r="T114" i="5"/>
  <c r="R114" i="5"/>
  <c r="P114" i="5"/>
  <c r="J114" i="5"/>
  <c r="BF114" i="5" s="1"/>
  <c r="BK113" i="5"/>
  <c r="BI113" i="5"/>
  <c r="BH113" i="5"/>
  <c r="BG113" i="5"/>
  <c r="BE113" i="5"/>
  <c r="T113" i="5"/>
  <c r="R113" i="5"/>
  <c r="P113" i="5"/>
  <c r="J113" i="5"/>
  <c r="BF113" i="5" s="1"/>
  <c r="BI112" i="5"/>
  <c r="BH112" i="5"/>
  <c r="BG112" i="5"/>
  <c r="BE112" i="5"/>
  <c r="BI111" i="5"/>
  <c r="BH111" i="5"/>
  <c r="BG111" i="5"/>
  <c r="BE111" i="5"/>
  <c r="BI109" i="5"/>
  <c r="BH109" i="5"/>
  <c r="BG109" i="5"/>
  <c r="BE109" i="5"/>
  <c r="BI108" i="5"/>
  <c r="BH108" i="5"/>
  <c r="BG108" i="5"/>
  <c r="BE108" i="5"/>
  <c r="H108" i="5"/>
  <c r="BI107" i="5"/>
  <c r="BH107" i="5"/>
  <c r="BG107" i="5"/>
  <c r="BE107" i="5"/>
  <c r="J107" i="5"/>
  <c r="BF107" i="5" s="1"/>
  <c r="H107" i="5"/>
  <c r="BK107" i="5" s="1"/>
  <c r="BI105" i="5"/>
  <c r="BH105" i="5"/>
  <c r="BG105" i="5"/>
  <c r="BE105" i="5"/>
  <c r="H105" i="5"/>
  <c r="R105" i="5" s="1"/>
  <c r="BI103" i="5"/>
  <c r="BH103" i="5"/>
  <c r="BG103" i="5"/>
  <c r="BE103" i="5"/>
  <c r="BI102" i="5"/>
  <c r="BH102" i="5"/>
  <c r="BG102" i="5"/>
  <c r="BE102" i="5"/>
  <c r="F33" i="5" s="1"/>
  <c r="BK99" i="5"/>
  <c r="BK98" i="5" s="1"/>
  <c r="BI99" i="5"/>
  <c r="BH99" i="5"/>
  <c r="F36" i="5" s="1"/>
  <c r="BG99" i="5"/>
  <c r="BE99" i="5"/>
  <c r="T99" i="5"/>
  <c r="T98" i="5" s="1"/>
  <c r="R99" i="5"/>
  <c r="R98" i="5" s="1"/>
  <c r="P99" i="5"/>
  <c r="P98" i="5" s="1"/>
  <c r="J99" i="5"/>
  <c r="BI96" i="5"/>
  <c r="BH96" i="5"/>
  <c r="BG96" i="5"/>
  <c r="BE96" i="5"/>
  <c r="R96" i="5"/>
  <c r="H96" i="5"/>
  <c r="BI95" i="5"/>
  <c r="BH95" i="5"/>
  <c r="BG95" i="5"/>
  <c r="BE95" i="5"/>
  <c r="H95" i="5"/>
  <c r="R95" i="5" s="1"/>
  <c r="BI94" i="5"/>
  <c r="BH94" i="5"/>
  <c r="BG94" i="5"/>
  <c r="BE94" i="5"/>
  <c r="H94" i="5"/>
  <c r="BK93" i="5"/>
  <c r="BI93" i="5"/>
  <c r="BH93" i="5"/>
  <c r="BG93" i="5"/>
  <c r="F35" i="5" s="1"/>
  <c r="BE93" i="5"/>
  <c r="T93" i="5"/>
  <c r="R93" i="5"/>
  <c r="P93" i="5"/>
  <c r="J93" i="5"/>
  <c r="BF93" i="5" s="1"/>
  <c r="BK92" i="5"/>
  <c r="BI92" i="5"/>
  <c r="F37" i="5" s="1"/>
  <c r="BH92" i="5"/>
  <c r="BG92" i="5"/>
  <c r="BE92" i="5"/>
  <c r="T92" i="5"/>
  <c r="R92" i="5"/>
  <c r="P92" i="5"/>
  <c r="J92" i="5"/>
  <c r="BF92" i="5" s="1"/>
  <c r="F83" i="5"/>
  <c r="J69" i="5"/>
  <c r="F52" i="5"/>
  <c r="E50" i="5"/>
  <c r="J37" i="5"/>
  <c r="J36" i="5"/>
  <c r="J35" i="5"/>
  <c r="J24" i="5"/>
  <c r="E24" i="5"/>
  <c r="J86" i="5" s="1"/>
  <c r="J23" i="5"/>
  <c r="J21" i="5"/>
  <c r="E21" i="5"/>
  <c r="J85" i="5" s="1"/>
  <c r="J20" i="5"/>
  <c r="J18" i="5"/>
  <c r="E18" i="5"/>
  <c r="F86" i="5" s="1"/>
  <c r="J17" i="5"/>
  <c r="J15" i="5"/>
  <c r="E15" i="5"/>
  <c r="F85" i="5" s="1"/>
  <c r="J14" i="5"/>
  <c r="J12" i="5"/>
  <c r="J83" i="5" s="1"/>
  <c r="E79" i="5"/>
  <c r="BK141" i="4"/>
  <c r="BI141" i="4"/>
  <c r="BH141" i="4"/>
  <c r="BG141" i="4"/>
  <c r="BE141" i="4"/>
  <c r="T141" i="4"/>
  <c r="T140" i="4" s="1"/>
  <c r="R141" i="4"/>
  <c r="R140" i="4" s="1"/>
  <c r="P141" i="4"/>
  <c r="P140" i="4" s="1"/>
  <c r="J141" i="4"/>
  <c r="BF141" i="4" s="1"/>
  <c r="BK140" i="4"/>
  <c r="BK139" i="4"/>
  <c r="BI139" i="4"/>
  <c r="BH139" i="4"/>
  <c r="BG139" i="4"/>
  <c r="BE139" i="4"/>
  <c r="T139" i="4"/>
  <c r="R139" i="4"/>
  <c r="P139" i="4"/>
  <c r="J139" i="4"/>
  <c r="BF139" i="4" s="1"/>
  <c r="J138" i="4"/>
  <c r="BK137" i="4"/>
  <c r="BI137" i="4"/>
  <c r="BH137" i="4"/>
  <c r="BG137" i="4"/>
  <c r="BE137" i="4"/>
  <c r="T137" i="4"/>
  <c r="R137" i="4"/>
  <c r="P137" i="4"/>
  <c r="J137" i="4"/>
  <c r="BF137" i="4" s="1"/>
  <c r="BK136" i="4"/>
  <c r="BI136" i="4"/>
  <c r="BH136" i="4"/>
  <c r="BG136" i="4"/>
  <c r="BE136" i="4"/>
  <c r="T136" i="4"/>
  <c r="R136" i="4"/>
  <c r="P136" i="4"/>
  <c r="J136" i="4"/>
  <c r="BF136" i="4" s="1"/>
  <c r="BK135" i="4"/>
  <c r="BK133" i="4" s="1"/>
  <c r="BI135" i="4"/>
  <c r="BH135" i="4"/>
  <c r="BG135" i="4"/>
  <c r="BE135" i="4"/>
  <c r="T135" i="4"/>
  <c r="R135" i="4"/>
  <c r="P135" i="4"/>
  <c r="J135" i="4"/>
  <c r="BF135" i="4" s="1"/>
  <c r="BK134" i="4"/>
  <c r="BI134" i="4"/>
  <c r="BH134" i="4"/>
  <c r="BG134" i="4"/>
  <c r="BE134" i="4"/>
  <c r="T134" i="4"/>
  <c r="R134" i="4"/>
  <c r="P134" i="4"/>
  <c r="P133" i="4" s="1"/>
  <c r="J134" i="4"/>
  <c r="BF134" i="4" s="1"/>
  <c r="BI132" i="4"/>
  <c r="BH132" i="4"/>
  <c r="BG132" i="4"/>
  <c r="BE132" i="4"/>
  <c r="BI131" i="4"/>
  <c r="BH131" i="4"/>
  <c r="BG131" i="4"/>
  <c r="BE131" i="4"/>
  <c r="J131" i="4"/>
  <c r="BF131" i="4" s="1"/>
  <c r="H131" i="4"/>
  <c r="BK131" i="4" s="1"/>
  <c r="H130" i="4"/>
  <c r="H128" i="4"/>
  <c r="BI127" i="4"/>
  <c r="BH127" i="4"/>
  <c r="BG127" i="4"/>
  <c r="BE127" i="4"/>
  <c r="H127" i="4"/>
  <c r="BK127" i="4" s="1"/>
  <c r="H126" i="4"/>
  <c r="BI125" i="4"/>
  <c r="BH125" i="4"/>
  <c r="BG125" i="4"/>
  <c r="BE125" i="4"/>
  <c r="H125" i="4"/>
  <c r="H132" i="4" s="1"/>
  <c r="BK124" i="4"/>
  <c r="BI124" i="4"/>
  <c r="BH124" i="4"/>
  <c r="BG124" i="4"/>
  <c r="BE124" i="4"/>
  <c r="T124" i="4"/>
  <c r="R124" i="4"/>
  <c r="P124" i="4"/>
  <c r="J124" i="4"/>
  <c r="BF124" i="4" s="1"/>
  <c r="BK119" i="4"/>
  <c r="BI119" i="4"/>
  <c r="BH119" i="4"/>
  <c r="BG119" i="4"/>
  <c r="BE119" i="4"/>
  <c r="T119" i="4"/>
  <c r="R119" i="4"/>
  <c r="P119" i="4"/>
  <c r="J119" i="4"/>
  <c r="BF119" i="4" s="1"/>
  <c r="BK117" i="4"/>
  <c r="BI117" i="4"/>
  <c r="BH117" i="4"/>
  <c r="BG117" i="4"/>
  <c r="BE117" i="4"/>
  <c r="T117" i="4"/>
  <c r="R117" i="4"/>
  <c r="P117" i="4"/>
  <c r="J117" i="4"/>
  <c r="BF117" i="4" s="1"/>
  <c r="BI115" i="4"/>
  <c r="BH115" i="4"/>
  <c r="BG115" i="4"/>
  <c r="BE115" i="4"/>
  <c r="R115" i="4"/>
  <c r="H115" i="4"/>
  <c r="BK113" i="4"/>
  <c r="BI113" i="4"/>
  <c r="BH113" i="4"/>
  <c r="BG113" i="4"/>
  <c r="BE113" i="4"/>
  <c r="T113" i="4"/>
  <c r="R113" i="4"/>
  <c r="P113" i="4"/>
  <c r="J113" i="4"/>
  <c r="BF113" i="4" s="1"/>
  <c r="BK112" i="4"/>
  <c r="BI112" i="4"/>
  <c r="BH112" i="4"/>
  <c r="BG112" i="4"/>
  <c r="BF112" i="4"/>
  <c r="BE112" i="4"/>
  <c r="T112" i="4"/>
  <c r="R112" i="4"/>
  <c r="P112" i="4"/>
  <c r="J112" i="4"/>
  <c r="BI110" i="4"/>
  <c r="BH110" i="4"/>
  <c r="BG110" i="4"/>
  <c r="BE110" i="4"/>
  <c r="BI109" i="4"/>
  <c r="BH109" i="4"/>
  <c r="BG109" i="4"/>
  <c r="BE109" i="4"/>
  <c r="BI107" i="4"/>
  <c r="BH107" i="4"/>
  <c r="BG107" i="4"/>
  <c r="BE107" i="4"/>
  <c r="BI106" i="4"/>
  <c r="BH106" i="4"/>
  <c r="BG106" i="4"/>
  <c r="BE106" i="4"/>
  <c r="BI105" i="4"/>
  <c r="BH105" i="4"/>
  <c r="BG105" i="4"/>
  <c r="BE105" i="4"/>
  <c r="BK103" i="4"/>
  <c r="BI103" i="4"/>
  <c r="BH103" i="4"/>
  <c r="BG103" i="4"/>
  <c r="BE103" i="4"/>
  <c r="T103" i="4"/>
  <c r="R103" i="4"/>
  <c r="P103" i="4"/>
  <c r="J103" i="4"/>
  <c r="BF103" i="4" s="1"/>
  <c r="BK101" i="4"/>
  <c r="BI101" i="4"/>
  <c r="BH101" i="4"/>
  <c r="BG101" i="4"/>
  <c r="BE101" i="4"/>
  <c r="T101" i="4"/>
  <c r="R101" i="4"/>
  <c r="P101" i="4"/>
  <c r="J101" i="4"/>
  <c r="BF101" i="4" s="1"/>
  <c r="BI99" i="4"/>
  <c r="BH99" i="4"/>
  <c r="BG99" i="4"/>
  <c r="BE99" i="4"/>
  <c r="H99" i="4"/>
  <c r="BK98" i="4"/>
  <c r="BI98" i="4"/>
  <c r="BH98" i="4"/>
  <c r="BG98" i="4"/>
  <c r="BE98" i="4"/>
  <c r="T98" i="4"/>
  <c r="R98" i="4"/>
  <c r="P98" i="4"/>
  <c r="J98" i="4"/>
  <c r="BF98" i="4" s="1"/>
  <c r="BK97" i="4"/>
  <c r="BI97" i="4"/>
  <c r="BH97" i="4"/>
  <c r="BG97" i="4"/>
  <c r="BE97" i="4"/>
  <c r="T97" i="4"/>
  <c r="R97" i="4"/>
  <c r="P97" i="4"/>
  <c r="J97" i="4"/>
  <c r="BF97" i="4" s="1"/>
  <c r="J96" i="4"/>
  <c r="BF95" i="4" s="1"/>
  <c r="BK95" i="4"/>
  <c r="BI95" i="4"/>
  <c r="BH95" i="4"/>
  <c r="BG95" i="4"/>
  <c r="BE95" i="4"/>
  <c r="T95" i="4"/>
  <c r="R95" i="4"/>
  <c r="P95" i="4"/>
  <c r="BK92" i="4"/>
  <c r="BI92" i="4"/>
  <c r="BH92" i="4"/>
  <c r="F36" i="4" s="1"/>
  <c r="BG92" i="4"/>
  <c r="BE92" i="4"/>
  <c r="T92" i="4"/>
  <c r="R92" i="4"/>
  <c r="P92" i="4"/>
  <c r="J92" i="4"/>
  <c r="BF92" i="4" s="1"/>
  <c r="BK90" i="4"/>
  <c r="BI90" i="4"/>
  <c r="BH90" i="4"/>
  <c r="BG90" i="4"/>
  <c r="BE90" i="4"/>
  <c r="T90" i="4"/>
  <c r="R90" i="4"/>
  <c r="P90" i="4"/>
  <c r="J90" i="4"/>
  <c r="BF90" i="4" s="1"/>
  <c r="BI89" i="4"/>
  <c r="F37" i="4" s="1"/>
  <c r="BH89" i="4"/>
  <c r="BG89" i="4"/>
  <c r="BE89" i="4"/>
  <c r="R89" i="4"/>
  <c r="R88" i="4" s="1"/>
  <c r="H89" i="4"/>
  <c r="F80" i="4"/>
  <c r="F52" i="4"/>
  <c r="E50" i="4"/>
  <c r="J37" i="4"/>
  <c r="J36" i="4"/>
  <c r="J35" i="4"/>
  <c r="J24" i="4"/>
  <c r="E24" i="4"/>
  <c r="J55" i="4" s="1"/>
  <c r="J23" i="4"/>
  <c r="J21" i="4"/>
  <c r="E21" i="4"/>
  <c r="J54" i="4" s="1"/>
  <c r="J20" i="4"/>
  <c r="J18" i="4"/>
  <c r="E18" i="4"/>
  <c r="F83" i="4" s="1"/>
  <c r="J17" i="4"/>
  <c r="J15" i="4"/>
  <c r="E15" i="4"/>
  <c r="F82" i="4" s="1"/>
  <c r="J14" i="4"/>
  <c r="J12" i="4"/>
  <c r="J52" i="4" s="1"/>
  <c r="L45" i="1"/>
  <c r="AW158" i="3"/>
  <c r="AV158" i="3"/>
  <c r="AU158" i="3"/>
  <c r="AT158" i="3"/>
  <c r="AS158" i="3"/>
  <c r="AW156" i="3"/>
  <c r="AV156" i="3"/>
  <c r="AU156" i="3"/>
  <c r="AT156" i="3"/>
  <c r="AS156" i="3"/>
  <c r="AW155" i="3"/>
  <c r="AV155" i="3"/>
  <c r="AU155" i="3"/>
  <c r="AT155" i="3"/>
  <c r="AS155" i="3"/>
  <c r="AY151" i="3"/>
  <c r="AY150" i="3" s="1"/>
  <c r="AY149" i="3" s="1"/>
  <c r="AW151" i="3"/>
  <c r="AV151" i="3"/>
  <c r="AU151" i="3"/>
  <c r="AT151" i="3"/>
  <c r="AS151" i="3"/>
  <c r="J151" i="3"/>
  <c r="J150" i="3" s="1"/>
  <c r="J148" i="3"/>
  <c r="AY147" i="3"/>
  <c r="AW147" i="3"/>
  <c r="AV147" i="3"/>
  <c r="AU147" i="3"/>
  <c r="AT147" i="3"/>
  <c r="AS147" i="3"/>
  <c r="J147" i="3"/>
  <c r="AY145" i="3"/>
  <c r="AW145" i="3"/>
  <c r="AV145" i="3"/>
  <c r="AU145" i="3"/>
  <c r="AT145" i="3"/>
  <c r="AS145" i="3"/>
  <c r="J145" i="3"/>
  <c r="AY144" i="3"/>
  <c r="AW144" i="3"/>
  <c r="AV144" i="3"/>
  <c r="AU144" i="3"/>
  <c r="AT144" i="3"/>
  <c r="AS144" i="3"/>
  <c r="J144" i="3"/>
  <c r="AW142" i="3"/>
  <c r="AV142" i="3"/>
  <c r="AU142" i="3"/>
  <c r="AT142" i="3"/>
  <c r="AS142" i="3"/>
  <c r="AW141" i="3"/>
  <c r="AV141" i="3"/>
  <c r="AU141" i="3"/>
  <c r="AT141" i="3"/>
  <c r="AS141" i="3"/>
  <c r="H141" i="3"/>
  <c r="AW140" i="3"/>
  <c r="AV140" i="3"/>
  <c r="AU140" i="3"/>
  <c r="AT140" i="3"/>
  <c r="AS140" i="3"/>
  <c r="H140" i="3"/>
  <c r="J139" i="3"/>
  <c r="AW137" i="3"/>
  <c r="AV137" i="3"/>
  <c r="AU137" i="3"/>
  <c r="AT137" i="3"/>
  <c r="AS137" i="3"/>
  <c r="H137" i="3"/>
  <c r="AY137" i="3" s="1"/>
  <c r="H134" i="3"/>
  <c r="H136" i="3" s="1"/>
  <c r="H133" i="3" s="1"/>
  <c r="AW133" i="3"/>
  <c r="AV133" i="3"/>
  <c r="AU133" i="3"/>
  <c r="AT133" i="3"/>
  <c r="AS133" i="3"/>
  <c r="AW131" i="3"/>
  <c r="AV131" i="3"/>
  <c r="AU131" i="3"/>
  <c r="AT131" i="3"/>
  <c r="AS131" i="3"/>
  <c r="H131" i="3"/>
  <c r="AY131" i="3" s="1"/>
  <c r="AY130" i="3"/>
  <c r="AW130" i="3"/>
  <c r="AV130" i="3"/>
  <c r="AU130" i="3"/>
  <c r="AT130" i="3"/>
  <c r="AS130" i="3"/>
  <c r="J130" i="3"/>
  <c r="AY129" i="3"/>
  <c r="AW129" i="3"/>
  <c r="AV129" i="3"/>
  <c r="AU129" i="3"/>
  <c r="AT129" i="3"/>
  <c r="AS129" i="3"/>
  <c r="J129" i="3"/>
  <c r="AW127" i="3"/>
  <c r="AV127" i="3"/>
  <c r="AU127" i="3"/>
  <c r="AT127" i="3"/>
  <c r="AS127" i="3"/>
  <c r="AY126" i="3"/>
  <c r="AW126" i="3"/>
  <c r="AV126" i="3"/>
  <c r="AU126" i="3"/>
  <c r="AT126" i="3"/>
  <c r="AS126" i="3"/>
  <c r="J126" i="3"/>
  <c r="AW124" i="3"/>
  <c r="AV124" i="3"/>
  <c r="AU124" i="3"/>
  <c r="AT124" i="3"/>
  <c r="AS124" i="3"/>
  <c r="AW123" i="3"/>
  <c r="AV123" i="3"/>
  <c r="AU123" i="3"/>
  <c r="AT123" i="3"/>
  <c r="AS123" i="3"/>
  <c r="H123" i="3"/>
  <c r="AW121" i="3"/>
  <c r="AV121" i="3"/>
  <c r="AU121" i="3"/>
  <c r="AT121" i="3"/>
  <c r="AS121" i="3"/>
  <c r="AY120" i="3"/>
  <c r="AW120" i="3"/>
  <c r="AV120" i="3"/>
  <c r="AU120" i="3"/>
  <c r="AT120" i="3"/>
  <c r="AS120" i="3"/>
  <c r="J120" i="3"/>
  <c r="AY119" i="3"/>
  <c r="AW119" i="3"/>
  <c r="AV119" i="3"/>
  <c r="AU119" i="3"/>
  <c r="AT119" i="3"/>
  <c r="AS119" i="3"/>
  <c r="J119" i="3"/>
  <c r="AY117" i="3"/>
  <c r="AW117" i="3"/>
  <c r="AV117" i="3"/>
  <c r="AU117" i="3"/>
  <c r="AT117" i="3"/>
  <c r="AS117" i="3"/>
  <c r="J117" i="3"/>
  <c r="AY116" i="3"/>
  <c r="AW116" i="3"/>
  <c r="AV116" i="3"/>
  <c r="AU116" i="3"/>
  <c r="AT116" i="3"/>
  <c r="AS116" i="3"/>
  <c r="J116" i="3"/>
  <c r="AY115" i="3"/>
  <c r="AW115" i="3"/>
  <c r="AV115" i="3"/>
  <c r="AU115" i="3"/>
  <c r="AT115" i="3"/>
  <c r="AS115" i="3"/>
  <c r="J115" i="3"/>
  <c r="AW114" i="3"/>
  <c r="AV114" i="3"/>
  <c r="AU114" i="3"/>
  <c r="AT114" i="3"/>
  <c r="AS114" i="3"/>
  <c r="AW112" i="3"/>
  <c r="AV112" i="3"/>
  <c r="AU112" i="3"/>
  <c r="AT112" i="3"/>
  <c r="AS112" i="3"/>
  <c r="H112" i="3"/>
  <c r="AY112" i="3" s="1"/>
  <c r="AY111" i="3"/>
  <c r="AW111" i="3"/>
  <c r="AV111" i="3"/>
  <c r="AU111" i="3"/>
  <c r="AT111" i="3"/>
  <c r="AS111" i="3"/>
  <c r="J111" i="3"/>
  <c r="AY110" i="3"/>
  <c r="AW110" i="3"/>
  <c r="AV110" i="3"/>
  <c r="AU110" i="3"/>
  <c r="AT110" i="3"/>
  <c r="AS110" i="3"/>
  <c r="J110" i="3"/>
  <c r="AY108" i="3"/>
  <c r="AW108" i="3"/>
  <c r="AV108" i="3"/>
  <c r="AU108" i="3"/>
  <c r="AT108" i="3"/>
  <c r="AS108" i="3"/>
  <c r="J108" i="3"/>
  <c r="H107" i="3"/>
  <c r="AW106" i="3"/>
  <c r="AV106" i="3"/>
  <c r="AU106" i="3"/>
  <c r="AT106" i="3"/>
  <c r="AS106" i="3"/>
  <c r="H106" i="3"/>
  <c r="AY106" i="3" s="1"/>
  <c r="AW105" i="3"/>
  <c r="AV105" i="3"/>
  <c r="AU105" i="3"/>
  <c r="AT105" i="3"/>
  <c r="AS105" i="3"/>
  <c r="H105" i="3"/>
  <c r="H157" i="3" s="1"/>
  <c r="J157" i="3" s="1"/>
  <c r="AY102" i="3"/>
  <c r="AY101" i="3" s="1"/>
  <c r="AW102" i="3"/>
  <c r="AV102" i="3"/>
  <c r="AU102" i="3"/>
  <c r="AT102" i="3"/>
  <c r="AS102" i="3"/>
  <c r="J102" i="3"/>
  <c r="J101" i="3" s="1"/>
  <c r="J62" i="3" s="1"/>
  <c r="AY99" i="3"/>
  <c r="AW99" i="3"/>
  <c r="AV99" i="3"/>
  <c r="AU99" i="3"/>
  <c r="AT99" i="3"/>
  <c r="AS99" i="3"/>
  <c r="J99" i="3"/>
  <c r="AW98" i="3"/>
  <c r="AV98" i="3"/>
  <c r="AU98" i="3"/>
  <c r="AT98" i="3"/>
  <c r="AS98" i="3"/>
  <c r="AW97" i="3"/>
  <c r="AV97" i="3"/>
  <c r="AU97" i="3"/>
  <c r="AT97" i="3"/>
  <c r="AS97" i="3"/>
  <c r="H97" i="3"/>
  <c r="AY97" i="3" s="1"/>
  <c r="AW96" i="3"/>
  <c r="AV96" i="3"/>
  <c r="AU96" i="3"/>
  <c r="AT96" i="3"/>
  <c r="AS96" i="3"/>
  <c r="AW95" i="3"/>
  <c r="AV95" i="3"/>
  <c r="AU95" i="3"/>
  <c r="AT95" i="3"/>
  <c r="AS95" i="3"/>
  <c r="H95" i="3"/>
  <c r="AY95" i="3" s="1"/>
  <c r="AW94" i="3"/>
  <c r="AV94" i="3"/>
  <c r="AU94" i="3"/>
  <c r="AT94" i="3"/>
  <c r="AS94" i="3"/>
  <c r="H94" i="3"/>
  <c r="AY94" i="3" s="1"/>
  <c r="AY93" i="3"/>
  <c r="AW93" i="3"/>
  <c r="AV93" i="3"/>
  <c r="AU93" i="3"/>
  <c r="AT93" i="3"/>
  <c r="AS93" i="3"/>
  <c r="J93" i="3"/>
  <c r="AY92" i="3"/>
  <c r="AW92" i="3"/>
  <c r="F37" i="3" s="1"/>
  <c r="AV92" i="3"/>
  <c r="AU92" i="3"/>
  <c r="F35" i="3" s="1"/>
  <c r="AT92" i="3"/>
  <c r="AS92" i="3"/>
  <c r="F33" i="3" s="1"/>
  <c r="J92" i="3"/>
  <c r="F83" i="3"/>
  <c r="F52" i="3"/>
  <c r="E50" i="3"/>
  <c r="J37" i="3"/>
  <c r="J36" i="3"/>
  <c r="F36" i="3"/>
  <c r="J35" i="3"/>
  <c r="J34" i="3"/>
  <c r="F34" i="3"/>
  <c r="J33" i="3"/>
  <c r="J24" i="3"/>
  <c r="E24" i="3"/>
  <c r="J86" i="3" s="1"/>
  <c r="J23" i="3"/>
  <c r="J21" i="3"/>
  <c r="E21" i="3"/>
  <c r="J85" i="3" s="1"/>
  <c r="J20" i="3"/>
  <c r="J18" i="3"/>
  <c r="E18" i="3"/>
  <c r="F86" i="3" s="1"/>
  <c r="J17" i="3"/>
  <c r="J15" i="3"/>
  <c r="E15" i="3"/>
  <c r="F85" i="3" s="1"/>
  <c r="J14" i="3"/>
  <c r="J12" i="3"/>
  <c r="J83" i="3" s="1"/>
  <c r="E79" i="3"/>
  <c r="BK140" i="2"/>
  <c r="BK139" i="2" s="1"/>
  <c r="J139" i="2" s="1"/>
  <c r="J66" i="2" s="1"/>
  <c r="BI140" i="2"/>
  <c r="BH140" i="2"/>
  <c r="BG140" i="2"/>
  <c r="BE140" i="2"/>
  <c r="T140" i="2"/>
  <c r="T139" i="2" s="1"/>
  <c r="R140" i="2"/>
  <c r="P140" i="2"/>
  <c r="P139" i="2" s="1"/>
  <c r="J140" i="2"/>
  <c r="BF140" i="2" s="1"/>
  <c r="R139" i="2"/>
  <c r="BK138" i="2"/>
  <c r="BI138" i="2"/>
  <c r="BH138" i="2"/>
  <c r="BG138" i="2"/>
  <c r="BE138" i="2"/>
  <c r="T138" i="2"/>
  <c r="R138" i="2"/>
  <c r="P138" i="2"/>
  <c r="J138" i="2"/>
  <c r="BF138" i="2" s="1"/>
  <c r="BK137" i="2"/>
  <c r="J137" i="2"/>
  <c r="BK136" i="2"/>
  <c r="BI136" i="2"/>
  <c r="BH136" i="2"/>
  <c r="BG136" i="2"/>
  <c r="BE136" i="2"/>
  <c r="T136" i="2"/>
  <c r="R136" i="2"/>
  <c r="P136" i="2"/>
  <c r="J136" i="2"/>
  <c r="BF136" i="2" s="1"/>
  <c r="BK135" i="2"/>
  <c r="BI135" i="2"/>
  <c r="BH135" i="2"/>
  <c r="BG135" i="2"/>
  <c r="BE135" i="2"/>
  <c r="T135" i="2"/>
  <c r="R135" i="2"/>
  <c r="P135" i="2"/>
  <c r="J135" i="2"/>
  <c r="BF135" i="2" s="1"/>
  <c r="BK134" i="2"/>
  <c r="BI134" i="2"/>
  <c r="BH134" i="2"/>
  <c r="BG134" i="2"/>
  <c r="BE134" i="2"/>
  <c r="T134" i="2"/>
  <c r="T133" i="2" s="1"/>
  <c r="R134" i="2"/>
  <c r="P134" i="2"/>
  <c r="J134" i="2"/>
  <c r="BF134" i="2" s="1"/>
  <c r="BK133" i="2"/>
  <c r="R133" i="2"/>
  <c r="BI132" i="2"/>
  <c r="BH132" i="2"/>
  <c r="BG132" i="2"/>
  <c r="BE132" i="2"/>
  <c r="H132" i="2"/>
  <c r="BI131" i="2"/>
  <c r="BH131" i="2"/>
  <c r="BG131" i="2"/>
  <c r="BE131" i="2"/>
  <c r="H128" i="2"/>
  <c r="H130" i="2" s="1"/>
  <c r="H127" i="2" s="1"/>
  <c r="BI127" i="2"/>
  <c r="BH127" i="2"/>
  <c r="BG127" i="2"/>
  <c r="BE127" i="2"/>
  <c r="H126" i="2"/>
  <c r="BI125" i="2"/>
  <c r="BH125" i="2"/>
  <c r="BG125" i="2"/>
  <c r="BE125" i="2"/>
  <c r="H125" i="2"/>
  <c r="R125" i="2" s="1"/>
  <c r="BI124" i="2"/>
  <c r="BH124" i="2"/>
  <c r="BG124" i="2"/>
  <c r="BE124" i="2"/>
  <c r="H124" i="2"/>
  <c r="BK124" i="2" s="1"/>
  <c r="BK123" i="2"/>
  <c r="BI123" i="2"/>
  <c r="BH123" i="2"/>
  <c r="BG123" i="2"/>
  <c r="BE123" i="2"/>
  <c r="T123" i="2"/>
  <c r="R123" i="2"/>
  <c r="P123" i="2"/>
  <c r="J123" i="2"/>
  <c r="BF123" i="2" s="1"/>
  <c r="BK121" i="2"/>
  <c r="BI121" i="2"/>
  <c r="BH121" i="2"/>
  <c r="BG121" i="2"/>
  <c r="BE121" i="2"/>
  <c r="T121" i="2"/>
  <c r="R121" i="2"/>
  <c r="P121" i="2"/>
  <c r="J121" i="2"/>
  <c r="BF121" i="2" s="1"/>
  <c r="BI120" i="2"/>
  <c r="BH120" i="2"/>
  <c r="BG120" i="2"/>
  <c r="BE120" i="2"/>
  <c r="H120" i="2"/>
  <c r="R120" i="2" s="1"/>
  <c r="BI116" i="2"/>
  <c r="BH116" i="2"/>
  <c r="BG116" i="2"/>
  <c r="BE116" i="2"/>
  <c r="H116" i="2"/>
  <c r="BK116" i="2" s="1"/>
  <c r="BK114" i="2"/>
  <c r="BI114" i="2"/>
  <c r="BH114" i="2"/>
  <c r="BG114" i="2"/>
  <c r="BE114" i="2"/>
  <c r="T114" i="2"/>
  <c r="R114" i="2"/>
  <c r="P114" i="2"/>
  <c r="J114" i="2"/>
  <c r="BF114" i="2" s="1"/>
  <c r="BI112" i="2"/>
  <c r="BH112" i="2"/>
  <c r="BG112" i="2"/>
  <c r="BE112" i="2"/>
  <c r="H112" i="2"/>
  <c r="R112" i="2" s="1"/>
  <c r="BK111" i="2"/>
  <c r="BI111" i="2"/>
  <c r="BH111" i="2"/>
  <c r="BG111" i="2"/>
  <c r="BE111" i="2"/>
  <c r="T111" i="2"/>
  <c r="R111" i="2"/>
  <c r="P111" i="2"/>
  <c r="J111" i="2"/>
  <c r="BF111" i="2" s="1"/>
  <c r="BK110" i="2"/>
  <c r="BI110" i="2"/>
  <c r="BH110" i="2"/>
  <c r="BG110" i="2"/>
  <c r="BE110" i="2"/>
  <c r="T110" i="2"/>
  <c r="R110" i="2"/>
  <c r="P110" i="2"/>
  <c r="J110" i="2"/>
  <c r="BF110" i="2" s="1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C105" i="2"/>
  <c r="C106" i="2" s="1"/>
  <c r="C107" i="2" s="1"/>
  <c r="C108" i="2" s="1"/>
  <c r="BI104" i="2"/>
  <c r="BH104" i="2"/>
  <c r="F36" i="2" s="1"/>
  <c r="BG104" i="2"/>
  <c r="BE104" i="2"/>
  <c r="H104" i="2"/>
  <c r="H107" i="2" s="1"/>
  <c r="BK102" i="2"/>
  <c r="BI102" i="2"/>
  <c r="BH102" i="2"/>
  <c r="BG102" i="2"/>
  <c r="BE102" i="2"/>
  <c r="T102" i="2"/>
  <c r="R102" i="2"/>
  <c r="P102" i="2"/>
  <c r="J102" i="2"/>
  <c r="BF102" i="2" s="1"/>
  <c r="BK101" i="2"/>
  <c r="BI101" i="2"/>
  <c r="BH101" i="2"/>
  <c r="BG101" i="2"/>
  <c r="BE101" i="2"/>
  <c r="T101" i="2"/>
  <c r="R101" i="2"/>
  <c r="P101" i="2"/>
  <c r="J101" i="2"/>
  <c r="BF101" i="2" s="1"/>
  <c r="BI100" i="2"/>
  <c r="BH100" i="2"/>
  <c r="BG100" i="2"/>
  <c r="BE100" i="2"/>
  <c r="J100" i="2"/>
  <c r="BF100" i="2" s="1"/>
  <c r="H100" i="2"/>
  <c r="R100" i="2" s="1"/>
  <c r="BK98" i="2"/>
  <c r="BI98" i="2"/>
  <c r="BH98" i="2"/>
  <c r="BG98" i="2"/>
  <c r="BE98" i="2"/>
  <c r="T98" i="2"/>
  <c r="R98" i="2"/>
  <c r="P98" i="2"/>
  <c r="J98" i="2"/>
  <c r="BF98" i="2" s="1"/>
  <c r="BK97" i="2"/>
  <c r="BI97" i="2"/>
  <c r="BH97" i="2"/>
  <c r="BG97" i="2"/>
  <c r="BE97" i="2"/>
  <c r="T97" i="2"/>
  <c r="R97" i="2"/>
  <c r="P97" i="2"/>
  <c r="J97" i="2"/>
  <c r="BF97" i="2" s="1"/>
  <c r="C97" i="2"/>
  <c r="BK96" i="2"/>
  <c r="J96" i="2"/>
  <c r="C94" i="2"/>
  <c r="C96" i="2" s="1"/>
  <c r="C98" i="2" s="1"/>
  <c r="C100" i="2" s="1"/>
  <c r="C101" i="2" s="1"/>
  <c r="C102" i="2" s="1"/>
  <c r="BI93" i="2"/>
  <c r="BH93" i="2"/>
  <c r="BG93" i="2"/>
  <c r="BE93" i="2"/>
  <c r="R93" i="2"/>
  <c r="H93" i="2"/>
  <c r="BK92" i="2"/>
  <c r="BI92" i="2"/>
  <c r="BH92" i="2"/>
  <c r="BG92" i="2"/>
  <c r="BF92" i="2"/>
  <c r="BE92" i="2"/>
  <c r="T92" i="2"/>
  <c r="R92" i="2"/>
  <c r="P92" i="2"/>
  <c r="J92" i="2"/>
  <c r="BK90" i="2"/>
  <c r="BI90" i="2"/>
  <c r="BH90" i="2"/>
  <c r="BG90" i="2"/>
  <c r="BE90" i="2"/>
  <c r="T90" i="2"/>
  <c r="R90" i="2"/>
  <c r="P90" i="2"/>
  <c r="P88" i="2" s="1"/>
  <c r="J90" i="2"/>
  <c r="BF90" i="2" s="1"/>
  <c r="BK89" i="2"/>
  <c r="BK88" i="2" s="1"/>
  <c r="BI89" i="2"/>
  <c r="BH89" i="2"/>
  <c r="BG89" i="2"/>
  <c r="BE89" i="2"/>
  <c r="F33" i="2" s="1"/>
  <c r="T89" i="2"/>
  <c r="R89" i="2"/>
  <c r="R88" i="2" s="1"/>
  <c r="P89" i="2"/>
  <c r="J89" i="2"/>
  <c r="BF89" i="2" s="1"/>
  <c r="T88" i="2"/>
  <c r="F80" i="2"/>
  <c r="F52" i="2"/>
  <c r="E50" i="2"/>
  <c r="J37" i="2"/>
  <c r="J36" i="2"/>
  <c r="J35" i="2"/>
  <c r="F35" i="2"/>
  <c r="J24" i="2"/>
  <c r="E24" i="2"/>
  <c r="J55" i="2" s="1"/>
  <c r="J23" i="2"/>
  <c r="J21" i="2"/>
  <c r="E21" i="2"/>
  <c r="J54" i="2" s="1"/>
  <c r="J20" i="2"/>
  <c r="J18" i="2"/>
  <c r="E18" i="2"/>
  <c r="F83" i="2" s="1"/>
  <c r="J17" i="2"/>
  <c r="J15" i="2"/>
  <c r="E15" i="2"/>
  <c r="F82" i="2" s="1"/>
  <c r="J14" i="2"/>
  <c r="J12" i="2"/>
  <c r="J52" i="2" s="1"/>
  <c r="AM50" i="1"/>
  <c r="L50" i="1"/>
  <c r="AM49" i="1"/>
  <c r="L49" i="1"/>
  <c r="AM47" i="1"/>
  <c r="L47" i="1"/>
  <c r="L44" i="1"/>
  <c r="J140" i="3" l="1"/>
  <c r="AY140" i="3"/>
  <c r="BK94" i="5"/>
  <c r="J94" i="5"/>
  <c r="BF94" i="5" s="1"/>
  <c r="J33" i="6"/>
  <c r="F33" i="6"/>
  <c r="J141" i="3"/>
  <c r="AY141" i="3"/>
  <c r="F35" i="4"/>
  <c r="F33" i="4"/>
  <c r="BK99" i="4"/>
  <c r="J99" i="4"/>
  <c r="BF99" i="4" s="1"/>
  <c r="T133" i="4"/>
  <c r="J33" i="5"/>
  <c r="BF99" i="5"/>
  <c r="J98" i="5"/>
  <c r="J62" i="5" s="1"/>
  <c r="BK108" i="7"/>
  <c r="H102" i="7"/>
  <c r="J108" i="7"/>
  <c r="BF108" i="7" s="1"/>
  <c r="BF138" i="8"/>
  <c r="J137" i="8"/>
  <c r="J66" i="8" s="1"/>
  <c r="R132" i="2"/>
  <c r="H131" i="2"/>
  <c r="BK131" i="2" s="1"/>
  <c r="P133" i="2"/>
  <c r="J33" i="4"/>
  <c r="H105" i="4"/>
  <c r="J89" i="4"/>
  <c r="R99" i="4"/>
  <c r="BK96" i="5"/>
  <c r="J96" i="5"/>
  <c r="BF96" i="5" s="1"/>
  <c r="R108" i="5"/>
  <c r="H102" i="5"/>
  <c r="BK124" i="5"/>
  <c r="J124" i="5"/>
  <c r="BF124" i="5" s="1"/>
  <c r="BK127" i="6"/>
  <c r="R127" i="6"/>
  <c r="J132" i="6"/>
  <c r="J65" i="6" s="1"/>
  <c r="F33" i="7"/>
  <c r="R108" i="7"/>
  <c r="BK124" i="7"/>
  <c r="H112" i="7"/>
  <c r="F36" i="8"/>
  <c r="P91" i="9"/>
  <c r="P90" i="9" s="1"/>
  <c r="H124" i="3"/>
  <c r="AY123" i="3"/>
  <c r="J123" i="3"/>
  <c r="R123" i="12"/>
  <c r="H111" i="12"/>
  <c r="BK111" i="12" s="1"/>
  <c r="J33" i="2"/>
  <c r="H94" i="2"/>
  <c r="J93" i="2"/>
  <c r="BF93" i="2" s="1"/>
  <c r="BK115" i="4"/>
  <c r="J115" i="4"/>
  <c r="BF115" i="4" s="1"/>
  <c r="R94" i="5"/>
  <c r="F37" i="7"/>
  <c r="F35" i="7"/>
  <c r="F33" i="8"/>
  <c r="J33" i="8"/>
  <c r="R120" i="8"/>
  <c r="R119" i="8" s="1"/>
  <c r="F33" i="9"/>
  <c r="F33" i="12"/>
  <c r="F37" i="12"/>
  <c r="BJ106" i="13"/>
  <c r="J106" i="13"/>
  <c r="BE106" i="13" s="1"/>
  <c r="BJ125" i="13"/>
  <c r="J125" i="13"/>
  <c r="BE125" i="13" s="1"/>
  <c r="BK107" i="14"/>
  <c r="J107" i="14"/>
  <c r="BF107" i="14" s="1"/>
  <c r="BF126" i="14"/>
  <c r="J125" i="14"/>
  <c r="BK105" i="18"/>
  <c r="H99" i="18"/>
  <c r="J105" i="18"/>
  <c r="BF105" i="18" s="1"/>
  <c r="BK121" i="20"/>
  <c r="J121" i="20"/>
  <c r="BF121" i="20" s="1"/>
  <c r="BJ124" i="21"/>
  <c r="J124" i="21"/>
  <c r="BE124" i="21" s="1"/>
  <c r="F37" i="2"/>
  <c r="AY143" i="3"/>
  <c r="J146" i="3"/>
  <c r="R131" i="4"/>
  <c r="R107" i="5"/>
  <c r="R119" i="5"/>
  <c r="R94" i="7"/>
  <c r="R96" i="7"/>
  <c r="R126" i="7"/>
  <c r="R129" i="7"/>
  <c r="T135" i="7"/>
  <c r="J33" i="9"/>
  <c r="BK114" i="9"/>
  <c r="J114" i="9"/>
  <c r="BF114" i="9" s="1"/>
  <c r="BC89" i="10"/>
  <c r="J88" i="10"/>
  <c r="J33" i="10"/>
  <c r="R140" i="10"/>
  <c r="F33" i="11"/>
  <c r="R106" i="13"/>
  <c r="R125" i="13"/>
  <c r="R107" i="14"/>
  <c r="H110" i="16"/>
  <c r="J107" i="16"/>
  <c r="BF107" i="16" s="1"/>
  <c r="H102" i="16"/>
  <c r="H153" i="16" s="1"/>
  <c r="J153" i="16" s="1"/>
  <c r="BK114" i="16"/>
  <c r="J114" i="16"/>
  <c r="BF114" i="16" s="1"/>
  <c r="F35" i="17"/>
  <c r="F36" i="17"/>
  <c r="R105" i="18"/>
  <c r="BK113" i="18"/>
  <c r="J113" i="18"/>
  <c r="BF129" i="18"/>
  <c r="J128" i="18"/>
  <c r="J67" i="18" s="1"/>
  <c r="BK128" i="18"/>
  <c r="T137" i="19"/>
  <c r="F35" i="20"/>
  <c r="H122" i="20"/>
  <c r="P122" i="20" s="1"/>
  <c r="J118" i="20"/>
  <c r="H108" i="20"/>
  <c r="BK108" i="20" s="1"/>
  <c r="R121" i="20"/>
  <c r="J33" i="21"/>
  <c r="F33" i="21"/>
  <c r="R124" i="21"/>
  <c r="F36" i="22"/>
  <c r="BK127" i="22"/>
  <c r="J127" i="22"/>
  <c r="BF127" i="22" s="1"/>
  <c r="F36" i="12"/>
  <c r="F35" i="12"/>
  <c r="P138" i="13"/>
  <c r="H91" i="14"/>
  <c r="R91" i="14" s="1"/>
  <c r="R90" i="14" s="1"/>
  <c r="R89" i="14" s="1"/>
  <c r="F37" i="14"/>
  <c r="H97" i="14"/>
  <c r="H132" i="14" s="1"/>
  <c r="J132" i="14" s="1"/>
  <c r="J33" i="15"/>
  <c r="F33" i="15"/>
  <c r="F37" i="15"/>
  <c r="H95" i="15"/>
  <c r="J95" i="15" s="1"/>
  <c r="J94" i="15"/>
  <c r="BK94" i="15"/>
  <c r="H99" i="15"/>
  <c r="H100" i="15" s="1"/>
  <c r="BK98" i="15"/>
  <c r="J98" i="15"/>
  <c r="J106" i="15"/>
  <c r="BK106" i="15"/>
  <c r="H117" i="15"/>
  <c r="BK112" i="15"/>
  <c r="J112" i="15"/>
  <c r="J124" i="15"/>
  <c r="BK124" i="15"/>
  <c r="H133" i="16"/>
  <c r="H128" i="16" s="1"/>
  <c r="H112" i="16" s="1"/>
  <c r="BK134" i="16"/>
  <c r="J134" i="16"/>
  <c r="BF134" i="16" s="1"/>
  <c r="H133" i="17"/>
  <c r="H127" i="17"/>
  <c r="BK127" i="17" s="1"/>
  <c r="P137" i="17"/>
  <c r="BF140" i="18"/>
  <c r="J139" i="18"/>
  <c r="R128" i="19"/>
  <c r="J128" i="19"/>
  <c r="BF128" i="19" s="1"/>
  <c r="J33" i="20"/>
  <c r="BK113" i="20"/>
  <c r="H114" i="20"/>
  <c r="BK114" i="20" s="1"/>
  <c r="J113" i="20"/>
  <c r="H130" i="22"/>
  <c r="T130" i="22" s="1"/>
  <c r="J124" i="22"/>
  <c r="BF124" i="22" s="1"/>
  <c r="H112" i="22"/>
  <c r="R112" i="22" s="1"/>
  <c r="R133" i="4"/>
  <c r="R91" i="5"/>
  <c r="R90" i="5" s="1"/>
  <c r="R105" i="6"/>
  <c r="P135" i="7"/>
  <c r="H100" i="10"/>
  <c r="H98" i="10"/>
  <c r="BH98" i="10" s="1"/>
  <c r="H93" i="10"/>
  <c r="J97" i="10"/>
  <c r="BC97" i="10" s="1"/>
  <c r="BH106" i="10"/>
  <c r="J106" i="10"/>
  <c r="BC106" i="10" s="1"/>
  <c r="F36" i="11"/>
  <c r="BK106" i="11"/>
  <c r="H93" i="11"/>
  <c r="BK93" i="11" s="1"/>
  <c r="J134" i="11"/>
  <c r="J65" i="11" s="1"/>
  <c r="F36" i="13"/>
  <c r="R134" i="16"/>
  <c r="F37" i="17"/>
  <c r="F33" i="17"/>
  <c r="F33" i="18"/>
  <c r="BF93" i="18"/>
  <c r="J91" i="18"/>
  <c r="F33" i="20"/>
  <c r="BK104" i="20"/>
  <c r="H98" i="20"/>
  <c r="H132" i="20" s="1"/>
  <c r="J132" i="20" s="1"/>
  <c r="F37" i="20"/>
  <c r="R113" i="20"/>
  <c r="BJ120" i="21"/>
  <c r="J120" i="21"/>
  <c r="BE120" i="21" s="1"/>
  <c r="F33" i="22"/>
  <c r="H111" i="22"/>
  <c r="R111" i="22" s="1"/>
  <c r="R109" i="22"/>
  <c r="R124" i="22"/>
  <c r="R96" i="12"/>
  <c r="R102" i="12"/>
  <c r="R88" i="13"/>
  <c r="R136" i="13"/>
  <c r="J33" i="14"/>
  <c r="F37" i="16"/>
  <c r="F36" i="16"/>
  <c r="R93" i="18"/>
  <c r="R91" i="18" s="1"/>
  <c r="R90" i="18" s="1"/>
  <c r="F35" i="19"/>
  <c r="F36" i="19"/>
  <c r="R88" i="21"/>
  <c r="H115" i="9"/>
  <c r="T115" i="9" s="1"/>
  <c r="T112" i="9" s="1"/>
  <c r="H124" i="9"/>
  <c r="H120" i="9" s="1"/>
  <c r="R125" i="9"/>
  <c r="R134" i="9"/>
  <c r="P112" i="10"/>
  <c r="R137" i="11"/>
  <c r="R134" i="11" s="1"/>
  <c r="F35" i="16"/>
  <c r="F33" i="16"/>
  <c r="H107" i="18"/>
  <c r="H106" i="18" s="1"/>
  <c r="BK106" i="18" s="1"/>
  <c r="H125" i="18"/>
  <c r="H122" i="18" s="1"/>
  <c r="BK88" i="19"/>
  <c r="J88" i="19" s="1"/>
  <c r="F37" i="19"/>
  <c r="F33" i="19"/>
  <c r="H106" i="20"/>
  <c r="H105" i="20" s="1"/>
  <c r="BK124" i="20"/>
  <c r="J124" i="20" s="1"/>
  <c r="J67" i="20" s="1"/>
  <c r="J125" i="20"/>
  <c r="J68" i="20" s="1"/>
  <c r="BK90" i="20"/>
  <c r="BK89" i="20" s="1"/>
  <c r="J133" i="18"/>
  <c r="BK91" i="18"/>
  <c r="BK90" i="18" s="1"/>
  <c r="BK91" i="16"/>
  <c r="BK90" i="16" s="1"/>
  <c r="J137" i="16"/>
  <c r="J67" i="16" s="1"/>
  <c r="J34" i="15"/>
  <c r="J150" i="15"/>
  <c r="J65" i="15" s="1"/>
  <c r="J120" i="14"/>
  <c r="F33" i="13"/>
  <c r="F35" i="13"/>
  <c r="F37" i="13"/>
  <c r="BK134" i="11"/>
  <c r="BK90" i="9"/>
  <c r="BF113" i="9"/>
  <c r="J137" i="9"/>
  <c r="J135" i="7"/>
  <c r="J67" i="7" s="1"/>
  <c r="BK91" i="7"/>
  <c r="BK90" i="7" s="1"/>
  <c r="J139" i="5"/>
  <c r="J69" i="3"/>
  <c r="J149" i="3"/>
  <c r="J68" i="3" s="1"/>
  <c r="J143" i="3"/>
  <c r="J67" i="3" s="1"/>
  <c r="J133" i="2"/>
  <c r="J65" i="2" s="1"/>
  <c r="J82" i="13"/>
  <c r="J55" i="15"/>
  <c r="F54" i="13"/>
  <c r="J80" i="13"/>
  <c r="BK130" i="22"/>
  <c r="P130" i="22"/>
  <c r="J130" i="22"/>
  <c r="BF130" i="22" s="1"/>
  <c r="J67" i="22"/>
  <c r="BK111" i="22"/>
  <c r="P111" i="22"/>
  <c r="J111" i="22"/>
  <c r="BF111" i="22" s="1"/>
  <c r="J52" i="22"/>
  <c r="J54" i="22"/>
  <c r="J55" i="22"/>
  <c r="F84" i="22"/>
  <c r="F85" i="22"/>
  <c r="J93" i="22"/>
  <c r="BF93" i="22" s="1"/>
  <c r="R93" i="22"/>
  <c r="H94" i="22"/>
  <c r="R96" i="22"/>
  <c r="BF102" i="22"/>
  <c r="J103" i="22"/>
  <c r="BF103" i="22" s="1"/>
  <c r="R103" i="22"/>
  <c r="T112" i="22"/>
  <c r="J119" i="22"/>
  <c r="R119" i="22"/>
  <c r="H120" i="22"/>
  <c r="P125" i="22"/>
  <c r="T125" i="22"/>
  <c r="BK125" i="22"/>
  <c r="P129" i="22"/>
  <c r="T129" i="22"/>
  <c r="BK129" i="22"/>
  <c r="P138" i="22"/>
  <c r="P137" i="22" s="1"/>
  <c r="P136" i="22" s="1"/>
  <c r="T138" i="22"/>
  <c r="T137" i="22" s="1"/>
  <c r="T136" i="22" s="1"/>
  <c r="P139" i="22"/>
  <c r="T139" i="22"/>
  <c r="P141" i="22"/>
  <c r="T141" i="22"/>
  <c r="E48" i="22"/>
  <c r="P93" i="22"/>
  <c r="T93" i="22"/>
  <c r="P96" i="22"/>
  <c r="T96" i="22"/>
  <c r="P103" i="22"/>
  <c r="T103" i="22"/>
  <c r="P109" i="22"/>
  <c r="T109" i="22"/>
  <c r="BK109" i="22"/>
  <c r="P119" i="22"/>
  <c r="T119" i="22"/>
  <c r="P124" i="22"/>
  <c r="T124" i="22"/>
  <c r="BK124" i="22"/>
  <c r="J125" i="22"/>
  <c r="BF125" i="22" s="1"/>
  <c r="P127" i="22"/>
  <c r="T127" i="22"/>
  <c r="J129" i="22"/>
  <c r="BF129" i="22" s="1"/>
  <c r="BJ118" i="21"/>
  <c r="E48" i="21"/>
  <c r="F54" i="21"/>
  <c r="F55" i="21"/>
  <c r="J80" i="21"/>
  <c r="J82" i="21"/>
  <c r="J83" i="21"/>
  <c r="P89" i="21"/>
  <c r="P88" i="21" s="1"/>
  <c r="T89" i="21"/>
  <c r="T88" i="21" s="1"/>
  <c r="BJ89" i="21"/>
  <c r="BJ88" i="21" s="1"/>
  <c r="P92" i="21"/>
  <c r="T92" i="21"/>
  <c r="BJ92" i="21"/>
  <c r="H98" i="21"/>
  <c r="J119" i="21"/>
  <c r="BE119" i="21" s="1"/>
  <c r="R119" i="21"/>
  <c r="P120" i="21"/>
  <c r="T120" i="21"/>
  <c r="J123" i="21"/>
  <c r="BE123" i="21" s="1"/>
  <c r="R123" i="21"/>
  <c r="P124" i="21"/>
  <c r="T124" i="21"/>
  <c r="J126" i="21"/>
  <c r="BE126" i="21" s="1"/>
  <c r="R126" i="21"/>
  <c r="J89" i="21"/>
  <c r="BE89" i="21" s="1"/>
  <c r="J92" i="21"/>
  <c r="P119" i="21"/>
  <c r="T119" i="21"/>
  <c r="P123" i="21"/>
  <c r="T123" i="21"/>
  <c r="P126" i="21"/>
  <c r="T126" i="21"/>
  <c r="J90" i="20"/>
  <c r="J61" i="20" s="1"/>
  <c r="T122" i="20"/>
  <c r="R122" i="20"/>
  <c r="R105" i="20"/>
  <c r="J105" i="20"/>
  <c r="BF105" i="20" s="1"/>
  <c r="H107" i="20"/>
  <c r="BK105" i="20"/>
  <c r="T105" i="20"/>
  <c r="P105" i="20"/>
  <c r="J52" i="20"/>
  <c r="J54" i="20"/>
  <c r="J55" i="20"/>
  <c r="F84" i="20"/>
  <c r="F85" i="20"/>
  <c r="J92" i="20"/>
  <c r="BF92" i="20" s="1"/>
  <c r="R92" i="20"/>
  <c r="R90" i="20" s="1"/>
  <c r="R89" i="20" s="1"/>
  <c r="R98" i="20"/>
  <c r="P103" i="20"/>
  <c r="T103" i="20"/>
  <c r="BK103" i="20"/>
  <c r="J104" i="20"/>
  <c r="BF104" i="20" s="1"/>
  <c r="R104" i="20"/>
  <c r="J108" i="20"/>
  <c r="BF108" i="20" s="1"/>
  <c r="P113" i="20"/>
  <c r="T113" i="20"/>
  <c r="BF113" i="20"/>
  <c r="R114" i="20"/>
  <c r="P118" i="20"/>
  <c r="T118" i="20"/>
  <c r="BF118" i="20"/>
  <c r="BK118" i="20"/>
  <c r="J119" i="20"/>
  <c r="BF119" i="20" s="1"/>
  <c r="R119" i="20"/>
  <c r="P121" i="20"/>
  <c r="T121" i="20"/>
  <c r="P130" i="20"/>
  <c r="P129" i="20" s="1"/>
  <c r="P128" i="20" s="1"/>
  <c r="T130" i="20"/>
  <c r="T129" i="20" s="1"/>
  <c r="T128" i="20" s="1"/>
  <c r="P131" i="20"/>
  <c r="T131" i="20"/>
  <c r="P133" i="20"/>
  <c r="T133" i="20"/>
  <c r="E48" i="20"/>
  <c r="P92" i="20"/>
  <c r="P90" i="20" s="1"/>
  <c r="P89" i="20" s="1"/>
  <c r="T92" i="20"/>
  <c r="T90" i="20" s="1"/>
  <c r="T89" i="20" s="1"/>
  <c r="P98" i="20"/>
  <c r="BK98" i="20"/>
  <c r="P104" i="20"/>
  <c r="T104" i="20"/>
  <c r="P108" i="20"/>
  <c r="P114" i="20"/>
  <c r="P119" i="20"/>
  <c r="T119" i="20"/>
  <c r="R130" i="19"/>
  <c r="J130" i="19"/>
  <c r="BF130" i="19" s="1"/>
  <c r="BK130" i="19"/>
  <c r="T130" i="19"/>
  <c r="P130" i="19"/>
  <c r="J52" i="19"/>
  <c r="J54" i="19"/>
  <c r="J55" i="19"/>
  <c r="F82" i="19"/>
  <c r="F83" i="19"/>
  <c r="J89" i="19"/>
  <c r="BF89" i="19" s="1"/>
  <c r="R89" i="19"/>
  <c r="R88" i="19" s="1"/>
  <c r="J99" i="19"/>
  <c r="BF99" i="19" s="1"/>
  <c r="R99" i="19"/>
  <c r="H105" i="19"/>
  <c r="J119" i="19"/>
  <c r="BF119" i="19" s="1"/>
  <c r="R119" i="19"/>
  <c r="P128" i="19"/>
  <c r="T128" i="19"/>
  <c r="BK128" i="19"/>
  <c r="J134" i="19"/>
  <c r="BF134" i="19" s="1"/>
  <c r="R134" i="19"/>
  <c r="H135" i="19"/>
  <c r="E48" i="19"/>
  <c r="P89" i="19"/>
  <c r="P88" i="19" s="1"/>
  <c r="T89" i="19"/>
  <c r="T88" i="19" s="1"/>
  <c r="P99" i="19"/>
  <c r="T99" i="19"/>
  <c r="P119" i="19"/>
  <c r="T119" i="19"/>
  <c r="P134" i="19"/>
  <c r="T134" i="19"/>
  <c r="R106" i="18"/>
  <c r="H108" i="18"/>
  <c r="T106" i="18"/>
  <c r="BK126" i="18"/>
  <c r="T126" i="18"/>
  <c r="P126" i="18"/>
  <c r="R126" i="18"/>
  <c r="J126" i="18"/>
  <c r="BF126" i="18" s="1"/>
  <c r="BK122" i="18"/>
  <c r="T122" i="18"/>
  <c r="P122" i="18"/>
  <c r="H109" i="18"/>
  <c r="R122" i="18"/>
  <c r="J122" i="18"/>
  <c r="BF122" i="18" s="1"/>
  <c r="BK117" i="18"/>
  <c r="T117" i="18"/>
  <c r="P117" i="18"/>
  <c r="R117" i="18"/>
  <c r="J117" i="18"/>
  <c r="BF117" i="18" s="1"/>
  <c r="E48" i="18"/>
  <c r="F54" i="18"/>
  <c r="F55" i="18"/>
  <c r="P104" i="18"/>
  <c r="T104" i="18"/>
  <c r="BK104" i="18"/>
  <c r="P116" i="18"/>
  <c r="T116" i="18"/>
  <c r="BK116" i="18"/>
  <c r="P120" i="18"/>
  <c r="T120" i="18"/>
  <c r="BK120" i="18"/>
  <c r="P144" i="18"/>
  <c r="P143" i="18" s="1"/>
  <c r="P142" i="18" s="1"/>
  <c r="T144" i="18"/>
  <c r="T143" i="18" s="1"/>
  <c r="T142" i="18" s="1"/>
  <c r="P145" i="18"/>
  <c r="T145" i="18"/>
  <c r="P147" i="18"/>
  <c r="T147" i="18"/>
  <c r="J52" i="18"/>
  <c r="J54" i="18"/>
  <c r="J55" i="18"/>
  <c r="P93" i="18"/>
  <c r="P91" i="18" s="1"/>
  <c r="P90" i="18" s="1"/>
  <c r="T93" i="18"/>
  <c r="T91" i="18" s="1"/>
  <c r="T90" i="18" s="1"/>
  <c r="P99" i="18"/>
  <c r="T99" i="18"/>
  <c r="BK99" i="18"/>
  <c r="H101" i="18"/>
  <c r="H100" i="18" s="1"/>
  <c r="J104" i="18"/>
  <c r="BF104" i="18" s="1"/>
  <c r="R104" i="18"/>
  <c r="P105" i="18"/>
  <c r="T105" i="18"/>
  <c r="J116" i="18"/>
  <c r="R116" i="18"/>
  <c r="J120" i="18"/>
  <c r="R120" i="18"/>
  <c r="H112" i="17"/>
  <c r="BK105" i="17"/>
  <c r="T105" i="17"/>
  <c r="P105" i="17"/>
  <c r="H110" i="17"/>
  <c r="H106" i="17"/>
  <c r="R105" i="17"/>
  <c r="J105" i="17"/>
  <c r="BF105" i="17" s="1"/>
  <c r="H92" i="17"/>
  <c r="R133" i="17"/>
  <c r="J133" i="17"/>
  <c r="BF133" i="17" s="1"/>
  <c r="BK133" i="17"/>
  <c r="T133" i="17"/>
  <c r="P133" i="17"/>
  <c r="E48" i="17"/>
  <c r="F54" i="17"/>
  <c r="F55" i="17"/>
  <c r="J80" i="17"/>
  <c r="J82" i="17"/>
  <c r="J83" i="17"/>
  <c r="P89" i="17"/>
  <c r="P88" i="17" s="1"/>
  <c r="T89" i="17"/>
  <c r="T88" i="17" s="1"/>
  <c r="BK89" i="17"/>
  <c r="BK88" i="17" s="1"/>
  <c r="P99" i="17"/>
  <c r="T99" i="17"/>
  <c r="BK99" i="17"/>
  <c r="P118" i="17"/>
  <c r="T118" i="17"/>
  <c r="BK118" i="17"/>
  <c r="R127" i="17"/>
  <c r="J129" i="17"/>
  <c r="BF129" i="17" s="1"/>
  <c r="R129" i="17"/>
  <c r="J89" i="17"/>
  <c r="R89" i="17"/>
  <c r="R88" i="17" s="1"/>
  <c r="J99" i="17"/>
  <c r="BF99" i="17" s="1"/>
  <c r="J118" i="17"/>
  <c r="BF118" i="17" s="1"/>
  <c r="P127" i="17"/>
  <c r="P129" i="17"/>
  <c r="T129" i="17"/>
  <c r="BK135" i="16"/>
  <c r="T135" i="16"/>
  <c r="P135" i="16"/>
  <c r="R135" i="16"/>
  <c r="J135" i="16"/>
  <c r="BF135" i="16" s="1"/>
  <c r="J128" i="16"/>
  <c r="BF128" i="16" s="1"/>
  <c r="BK128" i="16"/>
  <c r="P128" i="16"/>
  <c r="BK123" i="16"/>
  <c r="E48" i="16"/>
  <c r="F54" i="16"/>
  <c r="F55" i="16"/>
  <c r="J94" i="16"/>
  <c r="BF94" i="16" s="1"/>
  <c r="R94" i="16"/>
  <c r="R91" i="16" s="1"/>
  <c r="R90" i="16" s="1"/>
  <c r="J96" i="16"/>
  <c r="BF96" i="16" s="1"/>
  <c r="R96" i="16"/>
  <c r="J98" i="16"/>
  <c r="J62" i="16" s="1"/>
  <c r="J102" i="16"/>
  <c r="R102" i="16"/>
  <c r="P107" i="16"/>
  <c r="T107" i="16"/>
  <c r="BK107" i="16"/>
  <c r="J108" i="16"/>
  <c r="BF108" i="16" s="1"/>
  <c r="R108" i="16"/>
  <c r="H109" i="16"/>
  <c r="P114" i="16"/>
  <c r="T114" i="16"/>
  <c r="J119" i="16"/>
  <c r="R119" i="16"/>
  <c r="H120" i="16"/>
  <c r="J122" i="16"/>
  <c r="J126" i="16"/>
  <c r="R126" i="16"/>
  <c r="P134" i="16"/>
  <c r="T134" i="16"/>
  <c r="J140" i="16"/>
  <c r="J146" i="16"/>
  <c r="P151" i="16"/>
  <c r="P150" i="16" s="1"/>
  <c r="P149" i="16" s="1"/>
  <c r="T151" i="16"/>
  <c r="T150" i="16" s="1"/>
  <c r="T149" i="16" s="1"/>
  <c r="P152" i="16"/>
  <c r="T152" i="16"/>
  <c r="P154" i="16"/>
  <c r="T154" i="16"/>
  <c r="J52" i="16"/>
  <c r="J54" i="16"/>
  <c r="J55" i="16"/>
  <c r="P94" i="16"/>
  <c r="T94" i="16"/>
  <c r="P96" i="16"/>
  <c r="T96" i="16"/>
  <c r="P102" i="16"/>
  <c r="T102" i="16"/>
  <c r="BK102" i="16"/>
  <c r="H104" i="16"/>
  <c r="H103" i="16" s="1"/>
  <c r="P108" i="16"/>
  <c r="T108" i="16"/>
  <c r="P119" i="16"/>
  <c r="T119" i="16"/>
  <c r="P126" i="16"/>
  <c r="T126" i="16"/>
  <c r="BK126" i="16"/>
  <c r="BK99" i="15"/>
  <c r="H101" i="15"/>
  <c r="BK117" i="15"/>
  <c r="J117" i="15"/>
  <c r="H119" i="15"/>
  <c r="BK138" i="15"/>
  <c r="BK131" i="15" s="1"/>
  <c r="BK130" i="15" s="1"/>
  <c r="J138" i="15"/>
  <c r="E48" i="15"/>
  <c r="F54" i="15"/>
  <c r="F55" i="15"/>
  <c r="J80" i="15"/>
  <c r="J82" i="15"/>
  <c r="J89" i="15"/>
  <c r="J88" i="15" s="1"/>
  <c r="H113" i="15"/>
  <c r="H115" i="15"/>
  <c r="J136" i="15"/>
  <c r="R104" i="14"/>
  <c r="J104" i="14"/>
  <c r="BF104" i="14" s="1"/>
  <c r="H106" i="14"/>
  <c r="BK104" i="14"/>
  <c r="T104" i="14"/>
  <c r="P104" i="14"/>
  <c r="BK113" i="14"/>
  <c r="T113" i="14"/>
  <c r="P113" i="14"/>
  <c r="R113" i="14"/>
  <c r="J113" i="14"/>
  <c r="BF113" i="14" s="1"/>
  <c r="E48" i="14"/>
  <c r="F54" i="14"/>
  <c r="F55" i="14"/>
  <c r="J82" i="14"/>
  <c r="J84" i="14"/>
  <c r="J85" i="14"/>
  <c r="P91" i="14"/>
  <c r="P90" i="14" s="1"/>
  <c r="P89" i="14" s="1"/>
  <c r="T91" i="14"/>
  <c r="T90" i="14" s="1"/>
  <c r="T89" i="14" s="1"/>
  <c r="BK91" i="14"/>
  <c r="BK90" i="14" s="1"/>
  <c r="P97" i="14"/>
  <c r="T97" i="14"/>
  <c r="BK97" i="14"/>
  <c r="P102" i="14"/>
  <c r="T102" i="14"/>
  <c r="BK102" i="14"/>
  <c r="P112" i="14"/>
  <c r="T112" i="14"/>
  <c r="BK112" i="14"/>
  <c r="P117" i="14"/>
  <c r="T117" i="14"/>
  <c r="BK117" i="14"/>
  <c r="P130" i="14"/>
  <c r="P129" i="14" s="1"/>
  <c r="P128" i="14" s="1"/>
  <c r="T130" i="14"/>
  <c r="T129" i="14" s="1"/>
  <c r="T128" i="14" s="1"/>
  <c r="P131" i="14"/>
  <c r="T131" i="14"/>
  <c r="P133" i="14"/>
  <c r="T133" i="14"/>
  <c r="J91" i="14"/>
  <c r="BF91" i="14" s="1"/>
  <c r="J97" i="14"/>
  <c r="R97" i="14"/>
  <c r="H98" i="14"/>
  <c r="J102" i="14"/>
  <c r="BF102" i="14" s="1"/>
  <c r="R102" i="14"/>
  <c r="P103" i="14"/>
  <c r="T103" i="14"/>
  <c r="P107" i="14"/>
  <c r="T107" i="14"/>
  <c r="J112" i="14"/>
  <c r="R112" i="14"/>
  <c r="BF116" i="14"/>
  <c r="J117" i="14"/>
  <c r="BF117" i="14" s="1"/>
  <c r="BJ137" i="13"/>
  <c r="T137" i="13"/>
  <c r="P137" i="13"/>
  <c r="R137" i="13"/>
  <c r="J137" i="13"/>
  <c r="BE137" i="13" s="1"/>
  <c r="H100" i="13"/>
  <c r="BJ98" i="13"/>
  <c r="T98" i="13"/>
  <c r="P98" i="13"/>
  <c r="H101" i="13"/>
  <c r="H99" i="13"/>
  <c r="R98" i="13"/>
  <c r="J98" i="13"/>
  <c r="BE98" i="13" s="1"/>
  <c r="E48" i="13"/>
  <c r="F55" i="13"/>
  <c r="J83" i="13"/>
  <c r="P89" i="13"/>
  <c r="P88" i="13" s="1"/>
  <c r="T89" i="13"/>
  <c r="T88" i="13" s="1"/>
  <c r="BJ89" i="13"/>
  <c r="BJ88" i="13" s="1"/>
  <c r="P97" i="13"/>
  <c r="T97" i="13"/>
  <c r="BJ97" i="13"/>
  <c r="H112" i="13"/>
  <c r="J121" i="13"/>
  <c r="BE121" i="13" s="1"/>
  <c r="R121" i="13"/>
  <c r="P125" i="13"/>
  <c r="T125" i="13"/>
  <c r="J130" i="13"/>
  <c r="BE130" i="13" s="1"/>
  <c r="R130" i="13"/>
  <c r="R128" i="13" s="1"/>
  <c r="R127" i="13" s="1"/>
  <c r="J132" i="13"/>
  <c r="BE132" i="13" s="1"/>
  <c r="R132" i="13"/>
  <c r="P136" i="13"/>
  <c r="T136" i="13"/>
  <c r="J89" i="13"/>
  <c r="J97" i="13"/>
  <c r="BE97" i="13" s="1"/>
  <c r="R97" i="13"/>
  <c r="P106" i="13"/>
  <c r="T106" i="13"/>
  <c r="P121" i="13"/>
  <c r="T121" i="13"/>
  <c r="P130" i="13"/>
  <c r="T130" i="13"/>
  <c r="BJ130" i="13"/>
  <c r="P132" i="13"/>
  <c r="T132" i="13"/>
  <c r="BK119" i="12"/>
  <c r="T119" i="12"/>
  <c r="P119" i="12"/>
  <c r="R119" i="12"/>
  <c r="J119" i="12"/>
  <c r="BF119" i="12" s="1"/>
  <c r="BK91" i="12"/>
  <c r="BK90" i="12" s="1"/>
  <c r="J68" i="12"/>
  <c r="E48" i="12"/>
  <c r="F54" i="12"/>
  <c r="F55" i="12"/>
  <c r="J94" i="12"/>
  <c r="BF94" i="12" s="1"/>
  <c r="R94" i="12"/>
  <c r="R91" i="12" s="1"/>
  <c r="R90" i="12" s="1"/>
  <c r="P96" i="12"/>
  <c r="T96" i="12"/>
  <c r="P102" i="12"/>
  <c r="T102" i="12"/>
  <c r="BF102" i="12"/>
  <c r="BK102" i="12"/>
  <c r="P108" i="12"/>
  <c r="T108" i="12"/>
  <c r="BK108" i="12"/>
  <c r="H110" i="12"/>
  <c r="J111" i="12"/>
  <c r="BF111" i="12" s="1"/>
  <c r="R111" i="12"/>
  <c r="P118" i="12"/>
  <c r="T118" i="12"/>
  <c r="BK118" i="12"/>
  <c r="P123" i="12"/>
  <c r="T123" i="12"/>
  <c r="BK123" i="12"/>
  <c r="P127" i="12"/>
  <c r="T127" i="12"/>
  <c r="BK127" i="12"/>
  <c r="H130" i="12"/>
  <c r="P146" i="12"/>
  <c r="P145" i="12" s="1"/>
  <c r="P144" i="12" s="1"/>
  <c r="T146" i="12"/>
  <c r="T145" i="12" s="1"/>
  <c r="T144" i="12" s="1"/>
  <c r="P147" i="12"/>
  <c r="T147" i="12"/>
  <c r="P149" i="12"/>
  <c r="T149" i="12"/>
  <c r="J52" i="12"/>
  <c r="J54" i="12"/>
  <c r="J55" i="12"/>
  <c r="P94" i="12"/>
  <c r="T94" i="12"/>
  <c r="T91" i="12" s="1"/>
  <c r="T90" i="12" s="1"/>
  <c r="H103" i="12"/>
  <c r="J108" i="12"/>
  <c r="BF108" i="12" s="1"/>
  <c r="P111" i="12"/>
  <c r="T111" i="12"/>
  <c r="J118" i="12"/>
  <c r="R118" i="12"/>
  <c r="J123" i="12"/>
  <c r="P125" i="12"/>
  <c r="T125" i="12"/>
  <c r="J127" i="12"/>
  <c r="BF127" i="12" s="1"/>
  <c r="P129" i="12"/>
  <c r="T129" i="12"/>
  <c r="J133" i="12"/>
  <c r="J67" i="12" s="1"/>
  <c r="J88" i="11"/>
  <c r="R128" i="11"/>
  <c r="J128" i="11"/>
  <c r="BF128" i="11" s="1"/>
  <c r="BK128" i="11"/>
  <c r="T128" i="11"/>
  <c r="P128" i="11"/>
  <c r="J52" i="11"/>
  <c r="J54" i="11"/>
  <c r="J55" i="11"/>
  <c r="F82" i="11"/>
  <c r="F83" i="11"/>
  <c r="J89" i="11"/>
  <c r="BF89" i="11" s="1"/>
  <c r="R89" i="11"/>
  <c r="R88" i="11" s="1"/>
  <c r="J93" i="11"/>
  <c r="BF93" i="11" s="1"/>
  <c r="R93" i="11"/>
  <c r="H94" i="11"/>
  <c r="J94" i="11" s="1"/>
  <c r="J106" i="11"/>
  <c r="BF106" i="11" s="1"/>
  <c r="R106" i="11"/>
  <c r="H107" i="11"/>
  <c r="H110" i="11"/>
  <c r="J126" i="11"/>
  <c r="BF126" i="11" s="1"/>
  <c r="R126" i="11"/>
  <c r="J132" i="11"/>
  <c r="BF132" i="11" s="1"/>
  <c r="R132" i="11"/>
  <c r="H133" i="11"/>
  <c r="P137" i="11"/>
  <c r="P134" i="11" s="1"/>
  <c r="T137" i="11"/>
  <c r="T134" i="11" s="1"/>
  <c r="J140" i="11"/>
  <c r="J66" i="11" s="1"/>
  <c r="E48" i="11"/>
  <c r="P89" i="11"/>
  <c r="P88" i="11" s="1"/>
  <c r="T89" i="11"/>
  <c r="T88" i="11" s="1"/>
  <c r="P93" i="11"/>
  <c r="T93" i="11"/>
  <c r="P106" i="11"/>
  <c r="T106" i="11"/>
  <c r="P126" i="11"/>
  <c r="T126" i="11"/>
  <c r="P132" i="11"/>
  <c r="T132" i="11"/>
  <c r="BH100" i="10"/>
  <c r="R100" i="10"/>
  <c r="N100" i="10"/>
  <c r="H101" i="10"/>
  <c r="P100" i="10"/>
  <c r="J100" i="10"/>
  <c r="BC100" i="10" s="1"/>
  <c r="H139" i="10"/>
  <c r="P133" i="10"/>
  <c r="J133" i="10"/>
  <c r="BH133" i="10"/>
  <c r="R133" i="10"/>
  <c r="N133" i="10"/>
  <c r="BH116" i="10"/>
  <c r="R116" i="10"/>
  <c r="N116" i="10"/>
  <c r="H117" i="10"/>
  <c r="P116" i="10"/>
  <c r="J116" i="10"/>
  <c r="BC116" i="10" s="1"/>
  <c r="P135" i="10"/>
  <c r="J135" i="10"/>
  <c r="BC135" i="10" s="1"/>
  <c r="BH135" i="10"/>
  <c r="R135" i="10"/>
  <c r="N135" i="10"/>
  <c r="E48" i="10"/>
  <c r="F54" i="10"/>
  <c r="F55" i="10"/>
  <c r="J61" i="10"/>
  <c r="J80" i="10"/>
  <c r="J82" i="10"/>
  <c r="J83" i="10"/>
  <c r="N93" i="10"/>
  <c r="R93" i="10"/>
  <c r="N97" i="10"/>
  <c r="R97" i="10"/>
  <c r="BH97" i="10"/>
  <c r="P98" i="10"/>
  <c r="N106" i="10"/>
  <c r="R106" i="10"/>
  <c r="J110" i="10"/>
  <c r="BC110" i="10" s="1"/>
  <c r="P110" i="10"/>
  <c r="N112" i="10"/>
  <c r="R112" i="10"/>
  <c r="BH112" i="10"/>
  <c r="J113" i="10"/>
  <c r="BC113" i="10" s="1"/>
  <c r="P113" i="10"/>
  <c r="H114" i="10"/>
  <c r="J121" i="10"/>
  <c r="BC121" i="10" s="1"/>
  <c r="P121" i="10"/>
  <c r="J140" i="10"/>
  <c r="J65" i="10" s="1"/>
  <c r="J148" i="10"/>
  <c r="J66" i="10" s="1"/>
  <c r="N98" i="10"/>
  <c r="N110" i="10"/>
  <c r="R110" i="10"/>
  <c r="N113" i="10"/>
  <c r="R113" i="10"/>
  <c r="N121" i="10"/>
  <c r="R121" i="10"/>
  <c r="R115" i="9"/>
  <c r="R112" i="9" s="1"/>
  <c r="BK115" i="9"/>
  <c r="BK112" i="9" s="1"/>
  <c r="P115" i="9"/>
  <c r="J68" i="9"/>
  <c r="R120" i="9"/>
  <c r="J120" i="9"/>
  <c r="BF120" i="9" s="1"/>
  <c r="BK120" i="9"/>
  <c r="T120" i="9"/>
  <c r="P120" i="9"/>
  <c r="E48" i="9"/>
  <c r="F54" i="9"/>
  <c r="F55" i="9"/>
  <c r="P99" i="9"/>
  <c r="T99" i="9"/>
  <c r="BK99" i="9"/>
  <c r="P105" i="9"/>
  <c r="T105" i="9"/>
  <c r="BK105" i="9"/>
  <c r="H107" i="9"/>
  <c r="P127" i="9"/>
  <c r="T127" i="9"/>
  <c r="BK127" i="9"/>
  <c r="P148" i="9"/>
  <c r="P147" i="9" s="1"/>
  <c r="P146" i="9" s="1"/>
  <c r="T148" i="9"/>
  <c r="T147" i="9" s="1"/>
  <c r="T146" i="9" s="1"/>
  <c r="P149" i="9"/>
  <c r="T149" i="9"/>
  <c r="P151" i="9"/>
  <c r="T151" i="9"/>
  <c r="J52" i="9"/>
  <c r="J54" i="9"/>
  <c r="J55" i="9"/>
  <c r="J95" i="9"/>
  <c r="J62" i="9" s="1"/>
  <c r="J99" i="9"/>
  <c r="R99" i="9"/>
  <c r="H100" i="9"/>
  <c r="J105" i="9"/>
  <c r="BF105" i="9" s="1"/>
  <c r="P114" i="9"/>
  <c r="T114" i="9"/>
  <c r="P125" i="9"/>
  <c r="T125" i="9"/>
  <c r="J127" i="9"/>
  <c r="BF127" i="9" s="1"/>
  <c r="J134" i="9"/>
  <c r="J67" i="9" s="1"/>
  <c r="H109" i="8"/>
  <c r="H106" i="8"/>
  <c r="BK104" i="8"/>
  <c r="T104" i="8"/>
  <c r="P104" i="8"/>
  <c r="H92" i="8"/>
  <c r="H105" i="8"/>
  <c r="R104" i="8"/>
  <c r="J104" i="8"/>
  <c r="BF104" i="8" s="1"/>
  <c r="J52" i="8"/>
  <c r="J54" i="8"/>
  <c r="J55" i="8"/>
  <c r="F82" i="8"/>
  <c r="F83" i="8"/>
  <c r="J89" i="8"/>
  <c r="R89" i="8"/>
  <c r="R88" i="8" s="1"/>
  <c r="J97" i="8"/>
  <c r="BF97" i="8" s="1"/>
  <c r="R97" i="8"/>
  <c r="H98" i="8"/>
  <c r="P127" i="8"/>
  <c r="T127" i="8"/>
  <c r="BK127" i="8"/>
  <c r="P130" i="8"/>
  <c r="T130" i="8"/>
  <c r="BK130" i="8"/>
  <c r="E48" i="8"/>
  <c r="P89" i="8"/>
  <c r="P88" i="8" s="1"/>
  <c r="T89" i="8"/>
  <c r="T88" i="8" s="1"/>
  <c r="BK89" i="8"/>
  <c r="BK88" i="8" s="1"/>
  <c r="P97" i="8"/>
  <c r="T97" i="8"/>
  <c r="J127" i="8"/>
  <c r="P129" i="8"/>
  <c r="T129" i="8"/>
  <c r="J130" i="8"/>
  <c r="BF130" i="8" s="1"/>
  <c r="J131" i="8"/>
  <c r="J65" i="8" s="1"/>
  <c r="J52" i="7"/>
  <c r="J54" i="7"/>
  <c r="J55" i="7"/>
  <c r="E79" i="7"/>
  <c r="P94" i="7"/>
  <c r="T94" i="7"/>
  <c r="J95" i="7"/>
  <c r="R95" i="7"/>
  <c r="R91" i="7" s="1"/>
  <c r="R90" i="7" s="1"/>
  <c r="P96" i="7"/>
  <c r="T96" i="7"/>
  <c r="P102" i="7"/>
  <c r="T102" i="7"/>
  <c r="BK102" i="7"/>
  <c r="H104" i="7"/>
  <c r="H103" i="7" s="1"/>
  <c r="J107" i="7"/>
  <c r="BF107" i="7" s="1"/>
  <c r="R107" i="7"/>
  <c r="P108" i="7"/>
  <c r="T108" i="7"/>
  <c r="H110" i="7"/>
  <c r="H109" i="7" s="1"/>
  <c r="T112" i="7"/>
  <c r="J119" i="7"/>
  <c r="R119" i="7"/>
  <c r="H120" i="7"/>
  <c r="J124" i="7"/>
  <c r="R124" i="7"/>
  <c r="P126" i="7"/>
  <c r="T126" i="7"/>
  <c r="J127" i="7"/>
  <c r="BF127" i="7" s="1"/>
  <c r="R127" i="7"/>
  <c r="P129" i="7"/>
  <c r="T129" i="7"/>
  <c r="J131" i="7"/>
  <c r="BF131" i="7" s="1"/>
  <c r="R131" i="7"/>
  <c r="H132" i="7"/>
  <c r="J138" i="7"/>
  <c r="J143" i="7"/>
  <c r="P148" i="7"/>
  <c r="P147" i="7" s="1"/>
  <c r="P146" i="7" s="1"/>
  <c r="T148" i="7"/>
  <c r="T147" i="7" s="1"/>
  <c r="T146" i="7" s="1"/>
  <c r="P149" i="7"/>
  <c r="T149" i="7"/>
  <c r="P151" i="7"/>
  <c r="T151" i="7"/>
  <c r="F54" i="7"/>
  <c r="F55" i="7"/>
  <c r="P95" i="7"/>
  <c r="T95" i="7"/>
  <c r="P107" i="7"/>
  <c r="T107" i="7"/>
  <c r="P119" i="7"/>
  <c r="T119" i="7"/>
  <c r="P124" i="7"/>
  <c r="T124" i="7"/>
  <c r="P127" i="7"/>
  <c r="T127" i="7"/>
  <c r="P131" i="7"/>
  <c r="T131" i="7"/>
  <c r="H109" i="6"/>
  <c r="BK106" i="6"/>
  <c r="T106" i="6"/>
  <c r="P106" i="6"/>
  <c r="R106" i="6"/>
  <c r="J106" i="6"/>
  <c r="BF106" i="6" s="1"/>
  <c r="J52" i="6"/>
  <c r="J54" i="6"/>
  <c r="J55" i="6"/>
  <c r="F82" i="6"/>
  <c r="F83" i="6"/>
  <c r="J89" i="6"/>
  <c r="R89" i="6"/>
  <c r="R88" i="6" s="1"/>
  <c r="J92" i="6"/>
  <c r="J99" i="6"/>
  <c r="BF99" i="6" s="1"/>
  <c r="R99" i="6"/>
  <c r="P105" i="6"/>
  <c r="T105" i="6"/>
  <c r="BK105" i="6"/>
  <c r="H107" i="6"/>
  <c r="H110" i="6"/>
  <c r="J114" i="6"/>
  <c r="BF114" i="6" s="1"/>
  <c r="R114" i="6"/>
  <c r="P127" i="6"/>
  <c r="T127" i="6"/>
  <c r="T121" i="6" s="1"/>
  <c r="T120" i="6" s="1"/>
  <c r="P130" i="6"/>
  <c r="T130" i="6"/>
  <c r="BK130" i="6"/>
  <c r="BK121" i="6" s="1"/>
  <c r="BK120" i="6" s="1"/>
  <c r="J131" i="6"/>
  <c r="R131" i="6"/>
  <c r="R121" i="6" s="1"/>
  <c r="R120" i="6" s="1"/>
  <c r="E48" i="6"/>
  <c r="P89" i="6"/>
  <c r="P88" i="6" s="1"/>
  <c r="T89" i="6"/>
  <c r="T88" i="6" s="1"/>
  <c r="P99" i="6"/>
  <c r="T99" i="6"/>
  <c r="P114" i="6"/>
  <c r="T114" i="6"/>
  <c r="P131" i="6"/>
  <c r="T131" i="6"/>
  <c r="R126" i="5"/>
  <c r="J126" i="5"/>
  <c r="BK126" i="5"/>
  <c r="T126" i="5"/>
  <c r="P126" i="5"/>
  <c r="H112" i="5"/>
  <c r="J68" i="5"/>
  <c r="E48" i="5"/>
  <c r="F54" i="5"/>
  <c r="F55" i="5"/>
  <c r="P95" i="5"/>
  <c r="T95" i="5"/>
  <c r="BK95" i="5"/>
  <c r="BK91" i="5" s="1"/>
  <c r="BK90" i="5" s="1"/>
  <c r="P105" i="5"/>
  <c r="T105" i="5"/>
  <c r="BK105" i="5"/>
  <c r="P108" i="5"/>
  <c r="T108" i="5"/>
  <c r="BK108" i="5"/>
  <c r="H110" i="5"/>
  <c r="H109" i="5" s="1"/>
  <c r="H120" i="5"/>
  <c r="P130" i="5"/>
  <c r="T130" i="5"/>
  <c r="BK130" i="5"/>
  <c r="R132" i="5"/>
  <c r="H133" i="5"/>
  <c r="P150" i="5"/>
  <c r="P149" i="5" s="1"/>
  <c r="P148" i="5" s="1"/>
  <c r="T150" i="5"/>
  <c r="T149" i="5" s="1"/>
  <c r="T148" i="5" s="1"/>
  <c r="P151" i="5"/>
  <c r="T151" i="5"/>
  <c r="P153" i="5"/>
  <c r="T153" i="5"/>
  <c r="J52" i="5"/>
  <c r="J54" i="5"/>
  <c r="J55" i="5"/>
  <c r="P94" i="5"/>
  <c r="T94" i="5"/>
  <c r="T91" i="5" s="1"/>
  <c r="T90" i="5" s="1"/>
  <c r="J95" i="5"/>
  <c r="P96" i="5"/>
  <c r="T96" i="5"/>
  <c r="P102" i="5"/>
  <c r="T102" i="5"/>
  <c r="BK102" i="5"/>
  <c r="H104" i="5"/>
  <c r="H103" i="5" s="1"/>
  <c r="J105" i="5"/>
  <c r="BF105" i="5" s="1"/>
  <c r="P107" i="5"/>
  <c r="T107" i="5"/>
  <c r="J108" i="5"/>
  <c r="BF108" i="5" s="1"/>
  <c r="P119" i="5"/>
  <c r="T119" i="5"/>
  <c r="BF119" i="5"/>
  <c r="P124" i="5"/>
  <c r="T124" i="5"/>
  <c r="J130" i="5"/>
  <c r="BF130" i="5" s="1"/>
  <c r="P132" i="5"/>
  <c r="T132" i="5"/>
  <c r="H110" i="4"/>
  <c r="H107" i="4"/>
  <c r="BK105" i="4"/>
  <c r="T105" i="4"/>
  <c r="P105" i="4"/>
  <c r="H109" i="4"/>
  <c r="H106" i="4"/>
  <c r="R105" i="4"/>
  <c r="J105" i="4"/>
  <c r="BF105" i="4" s="1"/>
  <c r="H93" i="4"/>
  <c r="BK132" i="4"/>
  <c r="T132" i="4"/>
  <c r="P132" i="4"/>
  <c r="R132" i="4"/>
  <c r="J132" i="4"/>
  <c r="BF132" i="4" s="1"/>
  <c r="E48" i="4"/>
  <c r="F54" i="4"/>
  <c r="F55" i="4"/>
  <c r="J80" i="4"/>
  <c r="J82" i="4"/>
  <c r="J83" i="4"/>
  <c r="P89" i="4"/>
  <c r="P88" i="4" s="1"/>
  <c r="T89" i="4"/>
  <c r="T88" i="4" s="1"/>
  <c r="BK89" i="4"/>
  <c r="BK88" i="4" s="1"/>
  <c r="P99" i="4"/>
  <c r="T99" i="4"/>
  <c r="P115" i="4"/>
  <c r="T115" i="4"/>
  <c r="J125" i="4"/>
  <c r="BF125" i="4" s="1"/>
  <c r="R125" i="4"/>
  <c r="J127" i="4"/>
  <c r="BF127" i="4" s="1"/>
  <c r="R127" i="4"/>
  <c r="P131" i="4"/>
  <c r="T131" i="4"/>
  <c r="J133" i="4"/>
  <c r="J65" i="4" s="1"/>
  <c r="J140" i="4"/>
  <c r="J66" i="4" s="1"/>
  <c r="P125" i="4"/>
  <c r="T125" i="4"/>
  <c r="BK125" i="4"/>
  <c r="P127" i="4"/>
  <c r="T127" i="4"/>
  <c r="AY124" i="3"/>
  <c r="J124" i="3"/>
  <c r="H127" i="3" s="1"/>
  <c r="AY133" i="3"/>
  <c r="J133" i="3"/>
  <c r="E48" i="3"/>
  <c r="F54" i="3"/>
  <c r="F55" i="3"/>
  <c r="H96" i="3"/>
  <c r="H98" i="3"/>
  <c r="H114" i="3"/>
  <c r="J52" i="3"/>
  <c r="J54" i="3"/>
  <c r="J55" i="3"/>
  <c r="J94" i="3"/>
  <c r="J95" i="3"/>
  <c r="J97" i="3"/>
  <c r="J105" i="3"/>
  <c r="AY105" i="3"/>
  <c r="J106" i="3"/>
  <c r="J112" i="3"/>
  <c r="J131" i="3"/>
  <c r="J137" i="3"/>
  <c r="BK94" i="2"/>
  <c r="J94" i="2"/>
  <c r="H108" i="2"/>
  <c r="BK107" i="2"/>
  <c r="T107" i="2"/>
  <c r="P107" i="2"/>
  <c r="R107" i="2"/>
  <c r="J107" i="2"/>
  <c r="BF107" i="2" s="1"/>
  <c r="R127" i="2"/>
  <c r="J127" i="2"/>
  <c r="BF127" i="2" s="1"/>
  <c r="BK127" i="2"/>
  <c r="T127" i="2"/>
  <c r="P127" i="2"/>
  <c r="E48" i="2"/>
  <c r="F54" i="2"/>
  <c r="F55" i="2"/>
  <c r="J80" i="2"/>
  <c r="J82" i="2"/>
  <c r="J83" i="2"/>
  <c r="P100" i="2"/>
  <c r="T100" i="2"/>
  <c r="BK100" i="2"/>
  <c r="J104" i="2"/>
  <c r="BF104" i="2" s="1"/>
  <c r="R104" i="2"/>
  <c r="P112" i="2"/>
  <c r="T112" i="2"/>
  <c r="BK112" i="2"/>
  <c r="J116" i="2"/>
  <c r="BF116" i="2" s="1"/>
  <c r="R116" i="2"/>
  <c r="P120" i="2"/>
  <c r="T120" i="2"/>
  <c r="BK120" i="2"/>
  <c r="J124" i="2"/>
  <c r="BF124" i="2" s="1"/>
  <c r="R124" i="2"/>
  <c r="P125" i="2"/>
  <c r="T125" i="2"/>
  <c r="BK125" i="2"/>
  <c r="J131" i="2"/>
  <c r="BF131" i="2" s="1"/>
  <c r="P132" i="2"/>
  <c r="T132" i="2"/>
  <c r="BK132" i="2"/>
  <c r="J88" i="2"/>
  <c r="J61" i="2" s="1"/>
  <c r="P93" i="2"/>
  <c r="T93" i="2"/>
  <c r="BK93" i="2"/>
  <c r="P104" i="2"/>
  <c r="T104" i="2"/>
  <c r="BK104" i="2"/>
  <c r="H105" i="2"/>
  <c r="H106" i="2"/>
  <c r="J112" i="2"/>
  <c r="BF112" i="2" s="1"/>
  <c r="P116" i="2"/>
  <c r="T116" i="2"/>
  <c r="J120" i="2"/>
  <c r="P124" i="2"/>
  <c r="T124" i="2"/>
  <c r="J125" i="2"/>
  <c r="BF125" i="2" s="1"/>
  <c r="T131" i="2"/>
  <c r="J132" i="2"/>
  <c r="BF132" i="2" s="1"/>
  <c r="P121" i="6" l="1"/>
  <c r="P120" i="6" s="1"/>
  <c r="T91" i="7"/>
  <c r="T90" i="7" s="1"/>
  <c r="J131" i="15"/>
  <c r="J130" i="15" s="1"/>
  <c r="J63" i="15" s="1"/>
  <c r="BK112" i="7"/>
  <c r="R112" i="7"/>
  <c r="J112" i="7"/>
  <c r="BF112" i="7" s="1"/>
  <c r="P131" i="2"/>
  <c r="R131" i="2"/>
  <c r="R119" i="2" s="1"/>
  <c r="R118" i="2" s="1"/>
  <c r="T122" i="4"/>
  <c r="T121" i="4" s="1"/>
  <c r="R122" i="4"/>
  <c r="R121" i="4" s="1"/>
  <c r="P91" i="5"/>
  <c r="P90" i="5" s="1"/>
  <c r="P112" i="7"/>
  <c r="P91" i="7"/>
  <c r="P90" i="7" s="1"/>
  <c r="T120" i="8"/>
  <c r="T119" i="8" s="1"/>
  <c r="J115" i="9"/>
  <c r="J112" i="9" s="1"/>
  <c r="J65" i="9" s="1"/>
  <c r="R98" i="10"/>
  <c r="H99" i="10"/>
  <c r="R99" i="10" s="1"/>
  <c r="P128" i="13"/>
  <c r="P127" i="13" s="1"/>
  <c r="J99" i="15"/>
  <c r="T128" i="16"/>
  <c r="R128" i="16"/>
  <c r="T127" i="17"/>
  <c r="P106" i="18"/>
  <c r="J106" i="18"/>
  <c r="BF106" i="18" s="1"/>
  <c r="T108" i="20"/>
  <c r="H100" i="20"/>
  <c r="H99" i="20" s="1"/>
  <c r="J122" i="20"/>
  <c r="BF122" i="20" s="1"/>
  <c r="BK122" i="20"/>
  <c r="J112" i="22"/>
  <c r="BF112" i="22" s="1"/>
  <c r="P112" i="22"/>
  <c r="T111" i="22"/>
  <c r="R130" i="22"/>
  <c r="J90" i="18"/>
  <c r="J60" i="18" s="1"/>
  <c r="J61" i="18"/>
  <c r="H146" i="18"/>
  <c r="J146" i="18" s="1"/>
  <c r="R99" i="18"/>
  <c r="J99" i="18"/>
  <c r="BF99" i="18" s="1"/>
  <c r="H152" i="5"/>
  <c r="J152" i="5" s="1"/>
  <c r="R102" i="5"/>
  <c r="J102" i="5"/>
  <c r="BF102" i="5" s="1"/>
  <c r="BF89" i="4"/>
  <c r="J88" i="4"/>
  <c r="J61" i="4" s="1"/>
  <c r="J122" i="4"/>
  <c r="J121" i="4" s="1"/>
  <c r="J63" i="4" s="1"/>
  <c r="P112" i="9"/>
  <c r="J98" i="10"/>
  <c r="BC98" i="10" s="1"/>
  <c r="H136" i="17"/>
  <c r="J127" i="17"/>
  <c r="BF127" i="17" s="1"/>
  <c r="T114" i="20"/>
  <c r="T98" i="20"/>
  <c r="J114" i="20"/>
  <c r="BF114" i="20" s="1"/>
  <c r="R108" i="20"/>
  <c r="J98" i="20"/>
  <c r="BK112" i="22"/>
  <c r="BH93" i="10"/>
  <c r="P93" i="10"/>
  <c r="H94" i="10"/>
  <c r="J94" i="10" s="1"/>
  <c r="J93" i="10"/>
  <c r="BC93" i="10" s="1"/>
  <c r="J138" i="18"/>
  <c r="J68" i="18" s="1"/>
  <c r="J69" i="18"/>
  <c r="J124" i="14"/>
  <c r="J67" i="14" s="1"/>
  <c r="J68" i="14"/>
  <c r="H150" i="7"/>
  <c r="J150" i="7" s="1"/>
  <c r="R102" i="7"/>
  <c r="J102" i="7"/>
  <c r="BF102" i="7" s="1"/>
  <c r="BJ128" i="13"/>
  <c r="BJ127" i="13" s="1"/>
  <c r="R120" i="22"/>
  <c r="J120" i="22"/>
  <c r="BF120" i="22" s="1"/>
  <c r="BK120" i="22"/>
  <c r="T120" i="22"/>
  <c r="P120" i="22"/>
  <c r="H122" i="22"/>
  <c r="BF119" i="22"/>
  <c r="R94" i="22"/>
  <c r="R90" i="22" s="1"/>
  <c r="R89" i="22" s="1"/>
  <c r="J94" i="22"/>
  <c r="BF94" i="22" s="1"/>
  <c r="BK94" i="22"/>
  <c r="BK90" i="22" s="1"/>
  <c r="T94" i="22"/>
  <c r="P94" i="22"/>
  <c r="P90" i="22" s="1"/>
  <c r="P89" i="22" s="1"/>
  <c r="T90" i="22"/>
  <c r="T89" i="22" s="1"/>
  <c r="H117" i="22"/>
  <c r="H131" i="22"/>
  <c r="BJ117" i="21"/>
  <c r="J117" i="21" s="1"/>
  <c r="J63" i="21" s="1"/>
  <c r="J118" i="21"/>
  <c r="J64" i="21" s="1"/>
  <c r="P118" i="21"/>
  <c r="P117" i="21" s="1"/>
  <c r="BE92" i="21"/>
  <c r="H103" i="21"/>
  <c r="H99" i="21"/>
  <c r="R98" i="21"/>
  <c r="J98" i="21"/>
  <c r="BE98" i="21" s="1"/>
  <c r="H93" i="21"/>
  <c r="H105" i="21"/>
  <c r="H101" i="21"/>
  <c r="BJ98" i="21"/>
  <c r="T98" i="21"/>
  <c r="P98" i="21"/>
  <c r="J88" i="21"/>
  <c r="T118" i="21"/>
  <c r="T117" i="21" s="1"/>
  <c r="R118" i="21"/>
  <c r="R117" i="21" s="1"/>
  <c r="R107" i="20"/>
  <c r="J107" i="20"/>
  <c r="BF107" i="20" s="1"/>
  <c r="BK107" i="20"/>
  <c r="T107" i="20"/>
  <c r="P107" i="20"/>
  <c r="J89" i="20"/>
  <c r="H123" i="20"/>
  <c r="R99" i="20"/>
  <c r="J99" i="20"/>
  <c r="BF99" i="20" s="1"/>
  <c r="BK99" i="20"/>
  <c r="T99" i="20"/>
  <c r="P99" i="20"/>
  <c r="BF98" i="20"/>
  <c r="H116" i="20"/>
  <c r="R135" i="19"/>
  <c r="R126" i="19" s="1"/>
  <c r="R125" i="19" s="1"/>
  <c r="J135" i="19"/>
  <c r="BF135" i="19" s="1"/>
  <c r="BK135" i="19"/>
  <c r="BK126" i="19" s="1"/>
  <c r="T135" i="19"/>
  <c r="T126" i="19" s="1"/>
  <c r="T125" i="19" s="1"/>
  <c r="P135" i="19"/>
  <c r="P126" i="19" s="1"/>
  <c r="P125" i="19" s="1"/>
  <c r="H111" i="19"/>
  <c r="H107" i="19"/>
  <c r="R105" i="19"/>
  <c r="J105" i="19"/>
  <c r="BF105" i="19" s="1"/>
  <c r="H92" i="19"/>
  <c r="BK105" i="19"/>
  <c r="T105" i="19"/>
  <c r="P105" i="19"/>
  <c r="J61" i="19"/>
  <c r="H127" i="18"/>
  <c r="BF120" i="18"/>
  <c r="H118" i="18"/>
  <c r="BF116" i="18"/>
  <c r="BK109" i="18"/>
  <c r="T109" i="18"/>
  <c r="P109" i="18"/>
  <c r="R109" i="18"/>
  <c r="J109" i="18"/>
  <c r="BF109" i="18" s="1"/>
  <c r="R108" i="18"/>
  <c r="J108" i="18"/>
  <c r="BF108" i="18" s="1"/>
  <c r="BK108" i="18"/>
  <c r="T108" i="18"/>
  <c r="P108" i="18"/>
  <c r="R100" i="18"/>
  <c r="J100" i="18"/>
  <c r="BK100" i="18"/>
  <c r="T100" i="18"/>
  <c r="P100" i="18"/>
  <c r="J88" i="17"/>
  <c r="BF89" i="17"/>
  <c r="J92" i="17"/>
  <c r="H93" i="17"/>
  <c r="J93" i="17" s="1"/>
  <c r="R110" i="17"/>
  <c r="J110" i="17"/>
  <c r="BF110" i="17" s="1"/>
  <c r="BK110" i="17"/>
  <c r="T110" i="17"/>
  <c r="P110" i="17"/>
  <c r="BK112" i="17"/>
  <c r="T112" i="17"/>
  <c r="P112" i="17"/>
  <c r="R112" i="17"/>
  <c r="J112" i="17"/>
  <c r="BF112" i="17" s="1"/>
  <c r="R136" i="17"/>
  <c r="R125" i="17" s="1"/>
  <c r="R124" i="17" s="1"/>
  <c r="J136" i="17"/>
  <c r="BF136" i="17" s="1"/>
  <c r="BK136" i="17"/>
  <c r="BK125" i="17" s="1"/>
  <c r="BK124" i="17" s="1"/>
  <c r="J124" i="17" s="1"/>
  <c r="J63" i="17" s="1"/>
  <c r="T136" i="17"/>
  <c r="P136" i="17"/>
  <c r="P125" i="17" s="1"/>
  <c r="P124" i="17" s="1"/>
  <c r="H108" i="17"/>
  <c r="R106" i="17"/>
  <c r="J106" i="17"/>
  <c r="BF106" i="17" s="1"/>
  <c r="BK106" i="17"/>
  <c r="T106" i="17"/>
  <c r="P106" i="17"/>
  <c r="T125" i="17"/>
  <c r="T124" i="17" s="1"/>
  <c r="R103" i="16"/>
  <c r="J103" i="16"/>
  <c r="BF103" i="16" s="1"/>
  <c r="BK103" i="16"/>
  <c r="T103" i="16"/>
  <c r="P103" i="16"/>
  <c r="BF126" i="16"/>
  <c r="H136" i="16"/>
  <c r="R120" i="16"/>
  <c r="J120" i="16"/>
  <c r="BF120" i="16" s="1"/>
  <c r="BK120" i="16"/>
  <c r="T120" i="16"/>
  <c r="P120" i="16"/>
  <c r="H124" i="16"/>
  <c r="BF119" i="16"/>
  <c r="BF102" i="16"/>
  <c r="BK112" i="16"/>
  <c r="T112" i="16"/>
  <c r="P112" i="16"/>
  <c r="R112" i="16"/>
  <c r="J112" i="16"/>
  <c r="BF112" i="16" s="1"/>
  <c r="T91" i="16"/>
  <c r="T90" i="16" s="1"/>
  <c r="J91" i="16"/>
  <c r="J145" i="16"/>
  <c r="J69" i="16"/>
  <c r="R109" i="16"/>
  <c r="J109" i="16"/>
  <c r="BF109" i="16" s="1"/>
  <c r="H111" i="16"/>
  <c r="BK109" i="16"/>
  <c r="T109" i="16"/>
  <c r="P109" i="16"/>
  <c r="P91" i="16"/>
  <c r="P90" i="16" s="1"/>
  <c r="J64" i="15"/>
  <c r="BK115" i="15"/>
  <c r="J115" i="15"/>
  <c r="J61" i="15"/>
  <c r="BK119" i="15"/>
  <c r="J119" i="15"/>
  <c r="BK101" i="15"/>
  <c r="J101" i="15"/>
  <c r="H102" i="15"/>
  <c r="BK113" i="15"/>
  <c r="J113" i="15"/>
  <c r="BK100" i="15"/>
  <c r="J100" i="15"/>
  <c r="BK98" i="14"/>
  <c r="T98" i="14"/>
  <c r="P98" i="14"/>
  <c r="R98" i="14"/>
  <c r="J98" i="14"/>
  <c r="BF98" i="14" s="1"/>
  <c r="BF97" i="14"/>
  <c r="J90" i="14"/>
  <c r="BK89" i="14"/>
  <c r="R106" i="14"/>
  <c r="J106" i="14"/>
  <c r="BF106" i="14" s="1"/>
  <c r="BK106" i="14"/>
  <c r="T106" i="14"/>
  <c r="P106" i="14"/>
  <c r="H114" i="14"/>
  <c r="BF112" i="14"/>
  <c r="H119" i="14"/>
  <c r="J88" i="13"/>
  <c r="BE89" i="13"/>
  <c r="H116" i="13"/>
  <c r="H113" i="13"/>
  <c r="R112" i="13"/>
  <c r="J112" i="13"/>
  <c r="BE112" i="13" s="1"/>
  <c r="H117" i="13"/>
  <c r="H114" i="13"/>
  <c r="BJ112" i="13"/>
  <c r="T112" i="13"/>
  <c r="P112" i="13"/>
  <c r="H102" i="13"/>
  <c r="J102" i="13" s="1"/>
  <c r="R101" i="13"/>
  <c r="J101" i="13"/>
  <c r="BE101" i="13" s="1"/>
  <c r="BJ101" i="13"/>
  <c r="T101" i="13"/>
  <c r="P101" i="13"/>
  <c r="BJ100" i="13"/>
  <c r="T100" i="13"/>
  <c r="P100" i="13"/>
  <c r="R100" i="13"/>
  <c r="J100" i="13"/>
  <c r="BE100" i="13" s="1"/>
  <c r="R99" i="13"/>
  <c r="J99" i="13"/>
  <c r="BE99" i="13" s="1"/>
  <c r="BJ99" i="13"/>
  <c r="T99" i="13"/>
  <c r="P99" i="13"/>
  <c r="T128" i="13"/>
  <c r="T127" i="13" s="1"/>
  <c r="H93" i="13"/>
  <c r="J128" i="13"/>
  <c r="BF123" i="12"/>
  <c r="H121" i="12"/>
  <c r="BF118" i="12"/>
  <c r="BK103" i="12"/>
  <c r="T103" i="12"/>
  <c r="P103" i="12"/>
  <c r="R103" i="12"/>
  <c r="J103" i="12"/>
  <c r="R130" i="12"/>
  <c r="J130" i="12"/>
  <c r="BF130" i="12" s="1"/>
  <c r="BK130" i="12"/>
  <c r="T130" i="12"/>
  <c r="P130" i="12"/>
  <c r="R110" i="12"/>
  <c r="J110" i="12"/>
  <c r="BF110" i="12" s="1"/>
  <c r="BK110" i="12"/>
  <c r="T110" i="12"/>
  <c r="P110" i="12"/>
  <c r="P91" i="12"/>
  <c r="P90" i="12" s="1"/>
  <c r="J91" i="12"/>
  <c r="R133" i="11"/>
  <c r="R123" i="11" s="1"/>
  <c r="J133" i="11"/>
  <c r="BF133" i="11" s="1"/>
  <c r="BK133" i="11"/>
  <c r="BK123" i="11" s="1"/>
  <c r="BK122" i="11" s="1"/>
  <c r="T133" i="11"/>
  <c r="P133" i="11"/>
  <c r="P123" i="11" s="1"/>
  <c r="H111" i="11"/>
  <c r="R110" i="11"/>
  <c r="J110" i="11"/>
  <c r="BF110" i="11" s="1"/>
  <c r="BK110" i="11"/>
  <c r="T110" i="11"/>
  <c r="P110" i="11"/>
  <c r="H108" i="11"/>
  <c r="R107" i="11"/>
  <c r="J107" i="11"/>
  <c r="BF107" i="11" s="1"/>
  <c r="BK107" i="11"/>
  <c r="T107" i="11"/>
  <c r="P107" i="11"/>
  <c r="J61" i="11"/>
  <c r="T123" i="11"/>
  <c r="N128" i="10"/>
  <c r="N127" i="10" s="1"/>
  <c r="P114" i="10"/>
  <c r="J114" i="10"/>
  <c r="BC114" i="10" s="1"/>
  <c r="BH114" i="10"/>
  <c r="R114" i="10"/>
  <c r="R91" i="10" s="1"/>
  <c r="R87" i="10" s="1"/>
  <c r="N114" i="10"/>
  <c r="N91" i="10" s="1"/>
  <c r="N87" i="10" s="1"/>
  <c r="P99" i="10"/>
  <c r="BH99" i="10"/>
  <c r="N99" i="10"/>
  <c r="P117" i="10"/>
  <c r="J117" i="10"/>
  <c r="BC117" i="10" s="1"/>
  <c r="BH117" i="10"/>
  <c r="R117" i="10"/>
  <c r="N117" i="10"/>
  <c r="BC133" i="10"/>
  <c r="BH139" i="10"/>
  <c r="R139" i="10"/>
  <c r="R128" i="10" s="1"/>
  <c r="R127" i="10" s="1"/>
  <c r="N139" i="10"/>
  <c r="P139" i="10"/>
  <c r="P128" i="10" s="1"/>
  <c r="P127" i="10" s="1"/>
  <c r="J139" i="10"/>
  <c r="BC139" i="10" s="1"/>
  <c r="P91" i="10"/>
  <c r="P87" i="10" s="1"/>
  <c r="H102" i="10"/>
  <c r="P101" i="10"/>
  <c r="J101" i="10"/>
  <c r="BC101" i="10" s="1"/>
  <c r="BH101" i="10"/>
  <c r="R101" i="10"/>
  <c r="N101" i="10"/>
  <c r="BH128" i="10"/>
  <c r="BH127" i="10" s="1"/>
  <c r="BK100" i="9"/>
  <c r="T100" i="9"/>
  <c r="P100" i="9"/>
  <c r="R100" i="9"/>
  <c r="J100" i="9"/>
  <c r="BF100" i="9" s="1"/>
  <c r="BF99" i="9"/>
  <c r="BF115" i="9"/>
  <c r="R107" i="9"/>
  <c r="J107" i="9"/>
  <c r="BF107" i="9" s="1"/>
  <c r="BK107" i="9"/>
  <c r="T107" i="9"/>
  <c r="P107" i="9"/>
  <c r="H133" i="9"/>
  <c r="J90" i="9"/>
  <c r="J120" i="8"/>
  <c r="BF127" i="8"/>
  <c r="R105" i="8"/>
  <c r="J105" i="8"/>
  <c r="BF105" i="8" s="1"/>
  <c r="H108" i="8"/>
  <c r="BK105" i="8"/>
  <c r="T105" i="8"/>
  <c r="P105" i="8"/>
  <c r="BK109" i="8"/>
  <c r="T109" i="8"/>
  <c r="P109" i="8"/>
  <c r="R109" i="8"/>
  <c r="J109" i="8"/>
  <c r="BF109" i="8" s="1"/>
  <c r="BK120" i="8"/>
  <c r="BK119" i="8" s="1"/>
  <c r="P120" i="8"/>
  <c r="P119" i="8" s="1"/>
  <c r="R98" i="8"/>
  <c r="J98" i="8"/>
  <c r="BF98" i="8" s="1"/>
  <c r="BK98" i="8"/>
  <c r="T98" i="8"/>
  <c r="P98" i="8"/>
  <c r="BF89" i="8"/>
  <c r="J88" i="8"/>
  <c r="BK92" i="8"/>
  <c r="T92" i="8"/>
  <c r="P92" i="8"/>
  <c r="H93" i="8"/>
  <c r="J93" i="8" s="1"/>
  <c r="R92" i="8"/>
  <c r="J92" i="8"/>
  <c r="BK106" i="8"/>
  <c r="T106" i="8"/>
  <c r="P106" i="8"/>
  <c r="R106" i="8"/>
  <c r="J106" i="8"/>
  <c r="BF106" i="8" s="1"/>
  <c r="J142" i="7"/>
  <c r="J69" i="7"/>
  <c r="R132" i="7"/>
  <c r="J132" i="7"/>
  <c r="BF132" i="7" s="1"/>
  <c r="BK132" i="7"/>
  <c r="T132" i="7"/>
  <c r="P132" i="7"/>
  <c r="R120" i="7"/>
  <c r="J120" i="7"/>
  <c r="BF120" i="7" s="1"/>
  <c r="BK120" i="7"/>
  <c r="T120" i="7"/>
  <c r="P120" i="7"/>
  <c r="H122" i="7"/>
  <c r="BF119" i="7"/>
  <c r="BK103" i="7"/>
  <c r="T103" i="7"/>
  <c r="P103" i="7"/>
  <c r="R103" i="7"/>
  <c r="J103" i="7"/>
  <c r="BF95" i="7"/>
  <c r="J91" i="7"/>
  <c r="BF124" i="7"/>
  <c r="H111" i="7"/>
  <c r="BK109" i="7"/>
  <c r="T109" i="7"/>
  <c r="P109" i="7"/>
  <c r="R109" i="7"/>
  <c r="J109" i="7"/>
  <c r="BF109" i="7" s="1"/>
  <c r="BF131" i="6"/>
  <c r="J121" i="6"/>
  <c r="R110" i="6"/>
  <c r="J110" i="6"/>
  <c r="BF110" i="6" s="1"/>
  <c r="BK110" i="6"/>
  <c r="T110" i="6"/>
  <c r="P110" i="6"/>
  <c r="BF89" i="6"/>
  <c r="J88" i="6"/>
  <c r="BK109" i="6"/>
  <c r="T109" i="6"/>
  <c r="P109" i="6"/>
  <c r="R109" i="6"/>
  <c r="J109" i="6"/>
  <c r="BF109" i="6" s="1"/>
  <c r="R107" i="6"/>
  <c r="R90" i="6" s="1"/>
  <c r="R87" i="6" s="1"/>
  <c r="R86" i="6" s="1"/>
  <c r="J107" i="6"/>
  <c r="BF107" i="6" s="1"/>
  <c r="BK107" i="6"/>
  <c r="BK90" i="6" s="1"/>
  <c r="BK87" i="6" s="1"/>
  <c r="BK86" i="6" s="1"/>
  <c r="T107" i="6"/>
  <c r="P107" i="6"/>
  <c r="P90" i="6" s="1"/>
  <c r="P87" i="6" s="1"/>
  <c r="P86" i="6" s="1"/>
  <c r="J90" i="5"/>
  <c r="R103" i="5"/>
  <c r="J103" i="5"/>
  <c r="BK103" i="5"/>
  <c r="T103" i="5"/>
  <c r="P103" i="5"/>
  <c r="R133" i="5"/>
  <c r="J133" i="5"/>
  <c r="BF133" i="5" s="1"/>
  <c r="BK133" i="5"/>
  <c r="T133" i="5"/>
  <c r="P133" i="5"/>
  <c r="H111" i="5"/>
  <c r="BK109" i="5"/>
  <c r="T109" i="5"/>
  <c r="P109" i="5"/>
  <c r="R109" i="5"/>
  <c r="J109" i="5"/>
  <c r="BF109" i="5" s="1"/>
  <c r="BF95" i="5"/>
  <c r="J91" i="5"/>
  <c r="J61" i="5" s="1"/>
  <c r="R120" i="5"/>
  <c r="J120" i="5"/>
  <c r="BK120" i="5"/>
  <c r="T120" i="5"/>
  <c r="P120" i="5"/>
  <c r="R112" i="5"/>
  <c r="J112" i="5"/>
  <c r="BF112" i="5" s="1"/>
  <c r="BK112" i="5"/>
  <c r="T112" i="5"/>
  <c r="P112" i="5"/>
  <c r="BF126" i="5"/>
  <c r="H135" i="5"/>
  <c r="J64" i="4"/>
  <c r="J93" i="4"/>
  <c r="H94" i="4"/>
  <c r="J94" i="4" s="1"/>
  <c r="R109" i="4"/>
  <c r="J109" i="4"/>
  <c r="BF109" i="4" s="1"/>
  <c r="BK109" i="4"/>
  <c r="T109" i="4"/>
  <c r="P109" i="4"/>
  <c r="BK107" i="4"/>
  <c r="T107" i="4"/>
  <c r="P107" i="4"/>
  <c r="R107" i="4"/>
  <c r="J107" i="4"/>
  <c r="BF107" i="4" s="1"/>
  <c r="BK122" i="4"/>
  <c r="BK121" i="4" s="1"/>
  <c r="P122" i="4"/>
  <c r="P121" i="4" s="1"/>
  <c r="R106" i="4"/>
  <c r="J106" i="4"/>
  <c r="BF106" i="4" s="1"/>
  <c r="BK106" i="4"/>
  <c r="T106" i="4"/>
  <c r="T91" i="4" s="1"/>
  <c r="T87" i="4" s="1"/>
  <c r="T86" i="4" s="1"/>
  <c r="P106" i="4"/>
  <c r="BK110" i="4"/>
  <c r="T110" i="4"/>
  <c r="P110" i="4"/>
  <c r="R110" i="4"/>
  <c r="J110" i="4"/>
  <c r="BF110" i="4" s="1"/>
  <c r="AY114" i="3"/>
  <c r="J114" i="3"/>
  <c r="H121" i="3" s="1"/>
  <c r="AY96" i="3"/>
  <c r="J96" i="3"/>
  <c r="J91" i="3" s="1"/>
  <c r="H142" i="3"/>
  <c r="AY127" i="3"/>
  <c r="AY122" i="3" s="1"/>
  <c r="J127" i="3"/>
  <c r="J122" i="3" s="1"/>
  <c r="J65" i="3" s="1"/>
  <c r="AY98" i="3"/>
  <c r="J98" i="3"/>
  <c r="J119" i="2"/>
  <c r="BF120" i="2"/>
  <c r="BK106" i="2"/>
  <c r="T106" i="2"/>
  <c r="P106" i="2"/>
  <c r="R106" i="2"/>
  <c r="J106" i="2"/>
  <c r="BF106" i="2" s="1"/>
  <c r="BK105" i="2"/>
  <c r="T105" i="2"/>
  <c r="P105" i="2"/>
  <c r="P91" i="2" s="1"/>
  <c r="P87" i="2" s="1"/>
  <c r="R105" i="2"/>
  <c r="J105" i="2"/>
  <c r="BF105" i="2" s="1"/>
  <c r="BK108" i="2"/>
  <c r="T108" i="2"/>
  <c r="P108" i="2"/>
  <c r="R108" i="2"/>
  <c r="J108" i="2"/>
  <c r="BF108" i="2" s="1"/>
  <c r="T119" i="2"/>
  <c r="T118" i="2" s="1"/>
  <c r="BK119" i="2"/>
  <c r="BK118" i="2" s="1"/>
  <c r="P119" i="2"/>
  <c r="P118" i="2" s="1"/>
  <c r="P86" i="2" l="1"/>
  <c r="R91" i="2"/>
  <c r="R87" i="2" s="1"/>
  <c r="R86" i="2" s="1"/>
  <c r="J34" i="4"/>
  <c r="F34" i="2"/>
  <c r="T91" i="2"/>
  <c r="T87" i="2" s="1"/>
  <c r="T86" i="2" s="1"/>
  <c r="P91" i="4"/>
  <c r="P87" i="4" s="1"/>
  <c r="P86" i="4" s="1"/>
  <c r="R91" i="4"/>
  <c r="R87" i="4" s="1"/>
  <c r="R86" i="4" s="1"/>
  <c r="J99" i="10"/>
  <c r="BC99" i="10" s="1"/>
  <c r="T90" i="6"/>
  <c r="T87" i="6" s="1"/>
  <c r="T86" i="6" s="1"/>
  <c r="N86" i="10"/>
  <c r="BK91" i="15"/>
  <c r="BK87" i="15" s="1"/>
  <c r="BK86" i="15" s="1"/>
  <c r="H132" i="12"/>
  <c r="J123" i="11"/>
  <c r="J122" i="11" s="1"/>
  <c r="J63" i="11" s="1"/>
  <c r="BH91" i="10"/>
  <c r="BH87" i="10" s="1"/>
  <c r="BH86" i="10" s="1"/>
  <c r="BK91" i="4"/>
  <c r="BK87" i="4" s="1"/>
  <c r="J87" i="4" s="1"/>
  <c r="J34" i="2"/>
  <c r="BK91" i="2"/>
  <c r="BK87" i="2" s="1"/>
  <c r="BK86" i="2" s="1"/>
  <c r="R131" i="22"/>
  <c r="R123" i="22" s="1"/>
  <c r="J131" i="22"/>
  <c r="BF131" i="22" s="1"/>
  <c r="BK131" i="22"/>
  <c r="BK123" i="22" s="1"/>
  <c r="J123" i="22" s="1"/>
  <c r="J66" i="22" s="1"/>
  <c r="T131" i="22"/>
  <c r="T123" i="22" s="1"/>
  <c r="P131" i="22"/>
  <c r="P123" i="22" s="1"/>
  <c r="BK117" i="22"/>
  <c r="BK101" i="22" s="1"/>
  <c r="T117" i="22"/>
  <c r="T101" i="22" s="1"/>
  <c r="P117" i="22"/>
  <c r="P101" i="22" s="1"/>
  <c r="R117" i="22"/>
  <c r="R101" i="22" s="1"/>
  <c r="J117" i="22"/>
  <c r="BF117" i="22" s="1"/>
  <c r="BK89" i="22"/>
  <c r="J90" i="22"/>
  <c r="J61" i="22" s="1"/>
  <c r="BK122" i="22"/>
  <c r="BK118" i="22" s="1"/>
  <c r="J118" i="22" s="1"/>
  <c r="J65" i="22" s="1"/>
  <c r="T122" i="22"/>
  <c r="T118" i="22" s="1"/>
  <c r="P122" i="22"/>
  <c r="P118" i="22" s="1"/>
  <c r="R122" i="22"/>
  <c r="R118" i="22" s="1"/>
  <c r="J122" i="22"/>
  <c r="BF122" i="22" s="1"/>
  <c r="J61" i="21"/>
  <c r="R101" i="21"/>
  <c r="J101" i="21"/>
  <c r="BE101" i="21" s="1"/>
  <c r="BJ101" i="21"/>
  <c r="T101" i="21"/>
  <c r="P101" i="21"/>
  <c r="H94" i="21"/>
  <c r="J94" i="21" s="1"/>
  <c r="J93" i="21"/>
  <c r="BJ103" i="21"/>
  <c r="T103" i="21"/>
  <c r="P103" i="21"/>
  <c r="R103" i="21"/>
  <c r="J103" i="21"/>
  <c r="BE103" i="21" s="1"/>
  <c r="R105" i="21"/>
  <c r="J105" i="21"/>
  <c r="BE105" i="21" s="1"/>
  <c r="BJ105" i="21"/>
  <c r="T105" i="21"/>
  <c r="P105" i="21"/>
  <c r="BJ99" i="21"/>
  <c r="T99" i="21"/>
  <c r="T91" i="21" s="1"/>
  <c r="T87" i="21" s="1"/>
  <c r="T86" i="21" s="1"/>
  <c r="P99" i="21"/>
  <c r="R99" i="21"/>
  <c r="J99" i="21"/>
  <c r="BE99" i="21" s="1"/>
  <c r="J34" i="21" s="1"/>
  <c r="R123" i="20"/>
  <c r="R117" i="20" s="1"/>
  <c r="J123" i="20"/>
  <c r="BF123" i="20" s="1"/>
  <c r="BK123" i="20"/>
  <c r="BK117" i="20" s="1"/>
  <c r="J117" i="20" s="1"/>
  <c r="J66" i="20" s="1"/>
  <c r="T123" i="20"/>
  <c r="T117" i="20" s="1"/>
  <c r="P123" i="20"/>
  <c r="P117" i="20" s="1"/>
  <c r="H111" i="20"/>
  <c r="R116" i="20"/>
  <c r="R112" i="20" s="1"/>
  <c r="J116" i="20"/>
  <c r="BF116" i="20" s="1"/>
  <c r="BK116" i="20"/>
  <c r="BK112" i="20" s="1"/>
  <c r="J112" i="20" s="1"/>
  <c r="J65" i="20" s="1"/>
  <c r="T116" i="20"/>
  <c r="T112" i="20" s="1"/>
  <c r="P116" i="20"/>
  <c r="P112" i="20" s="1"/>
  <c r="J60" i="20"/>
  <c r="J126" i="19"/>
  <c r="J64" i="19" s="1"/>
  <c r="BK125" i="19"/>
  <c r="J125" i="19" s="1"/>
  <c r="J63" i="19" s="1"/>
  <c r="H93" i="19"/>
  <c r="J93" i="19" s="1"/>
  <c r="J92" i="19"/>
  <c r="BK111" i="19"/>
  <c r="T111" i="19"/>
  <c r="P111" i="19"/>
  <c r="H113" i="19"/>
  <c r="R111" i="19"/>
  <c r="J111" i="19"/>
  <c r="BF111" i="19" s="1"/>
  <c r="BK107" i="19"/>
  <c r="T107" i="19"/>
  <c r="P107" i="19"/>
  <c r="H109" i="19"/>
  <c r="R107" i="19"/>
  <c r="J107" i="19"/>
  <c r="BF107" i="19" s="1"/>
  <c r="BF100" i="18"/>
  <c r="H114" i="18"/>
  <c r="R118" i="18"/>
  <c r="R115" i="18" s="1"/>
  <c r="J118" i="18"/>
  <c r="BK118" i="18"/>
  <c r="BK115" i="18" s="1"/>
  <c r="T118" i="18"/>
  <c r="T115" i="18" s="1"/>
  <c r="P118" i="18"/>
  <c r="P115" i="18" s="1"/>
  <c r="R127" i="18"/>
  <c r="R119" i="18" s="1"/>
  <c r="J127" i="18"/>
  <c r="BK127" i="18"/>
  <c r="BK119" i="18" s="1"/>
  <c r="T127" i="18"/>
  <c r="T119" i="18" s="1"/>
  <c r="P127" i="18"/>
  <c r="P119" i="18" s="1"/>
  <c r="R91" i="17"/>
  <c r="R87" i="17" s="1"/>
  <c r="R86" i="17" s="1"/>
  <c r="J125" i="17"/>
  <c r="J64" i="17" s="1"/>
  <c r="BK108" i="17"/>
  <c r="BK91" i="17" s="1"/>
  <c r="BK87" i="17" s="1"/>
  <c r="BK86" i="17" s="1"/>
  <c r="T108" i="17"/>
  <c r="T91" i="17" s="1"/>
  <c r="T87" i="17" s="1"/>
  <c r="T86" i="17" s="1"/>
  <c r="P108" i="17"/>
  <c r="P91" i="17" s="1"/>
  <c r="P87" i="17" s="1"/>
  <c r="P86" i="17" s="1"/>
  <c r="R108" i="17"/>
  <c r="J108" i="17"/>
  <c r="BF108" i="17" s="1"/>
  <c r="F34" i="17" s="1"/>
  <c r="J61" i="17"/>
  <c r="R111" i="16"/>
  <c r="J111" i="16"/>
  <c r="BF111" i="16" s="1"/>
  <c r="BK111" i="16"/>
  <c r="T111" i="16"/>
  <c r="P111" i="16"/>
  <c r="J68" i="16"/>
  <c r="J90" i="16"/>
  <c r="J61" i="16"/>
  <c r="R136" i="16"/>
  <c r="R125" i="16" s="1"/>
  <c r="J136" i="16"/>
  <c r="BK136" i="16"/>
  <c r="BK125" i="16" s="1"/>
  <c r="T136" i="16"/>
  <c r="T125" i="16" s="1"/>
  <c r="P136" i="16"/>
  <c r="P125" i="16" s="1"/>
  <c r="H117" i="16"/>
  <c r="BK124" i="16"/>
  <c r="BK118" i="16" s="1"/>
  <c r="T124" i="16"/>
  <c r="T118" i="16" s="1"/>
  <c r="P124" i="16"/>
  <c r="P118" i="16" s="1"/>
  <c r="R124" i="16"/>
  <c r="R118" i="16" s="1"/>
  <c r="J124" i="16"/>
  <c r="BK102" i="15"/>
  <c r="J102" i="15"/>
  <c r="J91" i="15" s="1"/>
  <c r="BK119" i="14"/>
  <c r="BK115" i="14" s="1"/>
  <c r="T119" i="14"/>
  <c r="T115" i="14" s="1"/>
  <c r="P119" i="14"/>
  <c r="P115" i="14" s="1"/>
  <c r="R119" i="14"/>
  <c r="R115" i="14" s="1"/>
  <c r="J119" i="14"/>
  <c r="R114" i="14"/>
  <c r="R111" i="14" s="1"/>
  <c r="J114" i="14"/>
  <c r="BK114" i="14"/>
  <c r="BK111" i="14" s="1"/>
  <c r="T114" i="14"/>
  <c r="T111" i="14" s="1"/>
  <c r="P114" i="14"/>
  <c r="P111" i="14" s="1"/>
  <c r="J89" i="14"/>
  <c r="J61" i="14"/>
  <c r="H110" i="14"/>
  <c r="BJ93" i="13"/>
  <c r="T93" i="13"/>
  <c r="P93" i="13"/>
  <c r="H94" i="13"/>
  <c r="J94" i="13" s="1"/>
  <c r="R93" i="13"/>
  <c r="J93" i="13"/>
  <c r="R117" i="13"/>
  <c r="J117" i="13"/>
  <c r="BE117" i="13" s="1"/>
  <c r="BJ117" i="13"/>
  <c r="T117" i="13"/>
  <c r="P117" i="13"/>
  <c r="BJ116" i="13"/>
  <c r="T116" i="13"/>
  <c r="P116" i="13"/>
  <c r="R116" i="13"/>
  <c r="J116" i="13"/>
  <c r="BE116" i="13" s="1"/>
  <c r="J61" i="13"/>
  <c r="J127" i="13"/>
  <c r="J63" i="13" s="1"/>
  <c r="J64" i="13"/>
  <c r="R114" i="13"/>
  <c r="J114" i="13"/>
  <c r="BE114" i="13" s="1"/>
  <c r="BJ114" i="13"/>
  <c r="T114" i="13"/>
  <c r="P114" i="13"/>
  <c r="BJ113" i="13"/>
  <c r="T113" i="13"/>
  <c r="P113" i="13"/>
  <c r="R113" i="13"/>
  <c r="R91" i="13" s="1"/>
  <c r="R87" i="13" s="1"/>
  <c r="R86" i="13" s="1"/>
  <c r="J113" i="13"/>
  <c r="BE113" i="13" s="1"/>
  <c r="J90" i="12"/>
  <c r="J61" i="12"/>
  <c r="BF103" i="12"/>
  <c r="H116" i="12"/>
  <c r="R121" i="12"/>
  <c r="R117" i="12" s="1"/>
  <c r="J121" i="12"/>
  <c r="BK121" i="12"/>
  <c r="BK117" i="12" s="1"/>
  <c r="T121" i="12"/>
  <c r="T117" i="12" s="1"/>
  <c r="P121" i="12"/>
  <c r="P117" i="12" s="1"/>
  <c r="R132" i="12"/>
  <c r="J132" i="12"/>
  <c r="BF132" i="12" s="1"/>
  <c r="BK132" i="12"/>
  <c r="BK122" i="12" s="1"/>
  <c r="T132" i="12"/>
  <c r="T122" i="12" s="1"/>
  <c r="P132" i="12"/>
  <c r="P122" i="12" s="1"/>
  <c r="R122" i="12"/>
  <c r="J64" i="11"/>
  <c r="BK108" i="11"/>
  <c r="T108" i="11"/>
  <c r="T91" i="11" s="1"/>
  <c r="T87" i="11" s="1"/>
  <c r="T86" i="11" s="1"/>
  <c r="P108" i="11"/>
  <c r="R108" i="11"/>
  <c r="J108" i="11"/>
  <c r="BK111" i="11"/>
  <c r="T111" i="11"/>
  <c r="P111" i="11"/>
  <c r="R111" i="11"/>
  <c r="J111" i="11"/>
  <c r="BF111" i="11" s="1"/>
  <c r="BH102" i="10"/>
  <c r="R102" i="10"/>
  <c r="N102" i="10"/>
  <c r="P102" i="10"/>
  <c r="J102" i="10"/>
  <c r="R86" i="10"/>
  <c r="J128" i="10"/>
  <c r="P86" i="10"/>
  <c r="J60" i="9"/>
  <c r="R133" i="9"/>
  <c r="R116" i="9" s="1"/>
  <c r="J133" i="9"/>
  <c r="BK133" i="9"/>
  <c r="BK116" i="9" s="1"/>
  <c r="T133" i="9"/>
  <c r="T116" i="9" s="1"/>
  <c r="P133" i="9"/>
  <c r="P116" i="9" s="1"/>
  <c r="H111" i="9"/>
  <c r="P91" i="8"/>
  <c r="P87" i="8" s="1"/>
  <c r="P86" i="8" s="1"/>
  <c r="R108" i="8"/>
  <c r="R91" i="8" s="1"/>
  <c r="R87" i="8" s="1"/>
  <c r="R86" i="8" s="1"/>
  <c r="J108" i="8"/>
  <c r="BF108" i="8" s="1"/>
  <c r="BK108" i="8"/>
  <c r="BK91" i="8" s="1"/>
  <c r="BK87" i="8" s="1"/>
  <c r="BK86" i="8" s="1"/>
  <c r="T108" i="8"/>
  <c r="T91" i="8" s="1"/>
  <c r="T87" i="8" s="1"/>
  <c r="T86" i="8" s="1"/>
  <c r="P108" i="8"/>
  <c r="J119" i="8"/>
  <c r="J63" i="8" s="1"/>
  <c r="J64" i="8"/>
  <c r="BF92" i="8"/>
  <c r="J61" i="8"/>
  <c r="BF103" i="7"/>
  <c r="BK111" i="7"/>
  <c r="T111" i="7"/>
  <c r="P111" i="7"/>
  <c r="R111" i="7"/>
  <c r="J111" i="7"/>
  <c r="BF111" i="7" s="1"/>
  <c r="BK122" i="7"/>
  <c r="T122" i="7"/>
  <c r="T118" i="7" s="1"/>
  <c r="P122" i="7"/>
  <c r="P118" i="7" s="1"/>
  <c r="R122" i="7"/>
  <c r="R118" i="7" s="1"/>
  <c r="J122" i="7"/>
  <c r="J68" i="7"/>
  <c r="H134" i="7"/>
  <c r="J61" i="7"/>
  <c r="J90" i="7"/>
  <c r="BK118" i="7"/>
  <c r="J34" i="6"/>
  <c r="F34" i="6"/>
  <c r="J120" i="6"/>
  <c r="J63" i="6" s="1"/>
  <c r="J64" i="6"/>
  <c r="J90" i="6"/>
  <c r="J62" i="6" s="1"/>
  <c r="J87" i="6"/>
  <c r="J61" i="6"/>
  <c r="BF103" i="5"/>
  <c r="R135" i="5"/>
  <c r="R123" i="5" s="1"/>
  <c r="J135" i="5"/>
  <c r="BK135" i="5"/>
  <c r="BK123" i="5" s="1"/>
  <c r="T135" i="5"/>
  <c r="T123" i="5" s="1"/>
  <c r="P135" i="5"/>
  <c r="P123" i="5" s="1"/>
  <c r="BF120" i="5"/>
  <c r="H122" i="5"/>
  <c r="BK111" i="5"/>
  <c r="T111" i="5"/>
  <c r="P111" i="5"/>
  <c r="R111" i="5"/>
  <c r="J111" i="5"/>
  <c r="BF111" i="5" s="1"/>
  <c r="J60" i="5"/>
  <c r="BK86" i="4"/>
  <c r="F34" i="4"/>
  <c r="J91" i="4"/>
  <c r="J62" i="4" s="1"/>
  <c r="J90" i="3"/>
  <c r="J61" i="3"/>
  <c r="AY121" i="3"/>
  <c r="AY104" i="3" s="1"/>
  <c r="J121" i="3"/>
  <c r="J104" i="3" s="1"/>
  <c r="AY142" i="3"/>
  <c r="AY128" i="3" s="1"/>
  <c r="J142" i="3"/>
  <c r="J128" i="3" s="1"/>
  <c r="J66" i="3" s="1"/>
  <c r="AY91" i="3"/>
  <c r="AY90" i="3" s="1"/>
  <c r="J87" i="2"/>
  <c r="J64" i="2"/>
  <c r="J118" i="2"/>
  <c r="J63" i="2" s="1"/>
  <c r="J91" i="2"/>
  <c r="J62" i="2" s="1"/>
  <c r="J34" i="8" l="1"/>
  <c r="R91" i="21"/>
  <c r="R87" i="21" s="1"/>
  <c r="R86" i="21" s="1"/>
  <c r="BK91" i="11"/>
  <c r="BK87" i="11" s="1"/>
  <c r="BK86" i="11" s="1"/>
  <c r="P91" i="13"/>
  <c r="P87" i="13" s="1"/>
  <c r="P86" i="13" s="1"/>
  <c r="P91" i="21"/>
  <c r="P87" i="21" s="1"/>
  <c r="P86" i="21" s="1"/>
  <c r="J91" i="8"/>
  <c r="J62" i="8" s="1"/>
  <c r="P91" i="11"/>
  <c r="P87" i="11" s="1"/>
  <c r="P86" i="11" s="1"/>
  <c r="BJ91" i="13"/>
  <c r="BJ87" i="13" s="1"/>
  <c r="BJ86" i="13" s="1"/>
  <c r="J91" i="21"/>
  <c r="J62" i="21" s="1"/>
  <c r="BJ91" i="21"/>
  <c r="BJ87" i="21" s="1"/>
  <c r="BJ86" i="21" s="1"/>
  <c r="F34" i="8"/>
  <c r="J89" i="22"/>
  <c r="F34" i="22"/>
  <c r="J34" i="22"/>
  <c r="BK100" i="22"/>
  <c r="J100" i="22" s="1"/>
  <c r="J101" i="22"/>
  <c r="J64" i="22" s="1"/>
  <c r="R100" i="22"/>
  <c r="R88" i="22" s="1"/>
  <c r="P100" i="22"/>
  <c r="P88" i="22" s="1"/>
  <c r="T100" i="22"/>
  <c r="T88" i="22" s="1"/>
  <c r="F34" i="21"/>
  <c r="R111" i="20"/>
  <c r="R97" i="20" s="1"/>
  <c r="R96" i="20" s="1"/>
  <c r="R88" i="20" s="1"/>
  <c r="J111" i="20"/>
  <c r="BF111" i="20" s="1"/>
  <c r="J34" i="20" s="1"/>
  <c r="BK111" i="20"/>
  <c r="BK97" i="20" s="1"/>
  <c r="T111" i="20"/>
  <c r="T97" i="20" s="1"/>
  <c r="T96" i="20" s="1"/>
  <c r="T88" i="20" s="1"/>
  <c r="P111" i="20"/>
  <c r="P97" i="20" s="1"/>
  <c r="P96" i="20" s="1"/>
  <c r="P88" i="20" s="1"/>
  <c r="R113" i="19"/>
  <c r="J113" i="19"/>
  <c r="BF113" i="19" s="1"/>
  <c r="BK113" i="19"/>
  <c r="T113" i="19"/>
  <c r="P113" i="19"/>
  <c r="R109" i="19"/>
  <c r="R91" i="19" s="1"/>
  <c r="R87" i="19" s="1"/>
  <c r="R86" i="19" s="1"/>
  <c r="J109" i="19"/>
  <c r="BF109" i="19" s="1"/>
  <c r="F34" i="19" s="1"/>
  <c r="BK109" i="19"/>
  <c r="T109" i="19"/>
  <c r="T91" i="19" s="1"/>
  <c r="T87" i="19" s="1"/>
  <c r="T86" i="19" s="1"/>
  <c r="P109" i="19"/>
  <c r="BF127" i="18"/>
  <c r="J119" i="18"/>
  <c r="J66" i="18" s="1"/>
  <c r="BF118" i="18"/>
  <c r="J115" i="18"/>
  <c r="J65" i="18" s="1"/>
  <c r="R114" i="18"/>
  <c r="R98" i="18" s="1"/>
  <c r="R97" i="18" s="1"/>
  <c r="R89" i="18" s="1"/>
  <c r="J114" i="18"/>
  <c r="BK114" i="18"/>
  <c r="BK98" i="18" s="1"/>
  <c r="BK97" i="18" s="1"/>
  <c r="BK89" i="18" s="1"/>
  <c r="T114" i="18"/>
  <c r="T98" i="18" s="1"/>
  <c r="T97" i="18" s="1"/>
  <c r="T89" i="18" s="1"/>
  <c r="P114" i="18"/>
  <c r="P98" i="18" s="1"/>
  <c r="P97" i="18" s="1"/>
  <c r="P89" i="18" s="1"/>
  <c r="J91" i="17"/>
  <c r="J34" i="17"/>
  <c r="BF136" i="16"/>
  <c r="J125" i="16"/>
  <c r="J66" i="16" s="1"/>
  <c r="BF124" i="16"/>
  <c r="J118" i="16"/>
  <c r="J65" i="16" s="1"/>
  <c r="BK117" i="16"/>
  <c r="BK101" i="16" s="1"/>
  <c r="BK100" i="16" s="1"/>
  <c r="BK89" i="16" s="1"/>
  <c r="T117" i="16"/>
  <c r="T101" i="16" s="1"/>
  <c r="T100" i="16" s="1"/>
  <c r="T89" i="16" s="1"/>
  <c r="P117" i="16"/>
  <c r="P101" i="16" s="1"/>
  <c r="P100" i="16" s="1"/>
  <c r="P89" i="16" s="1"/>
  <c r="R117" i="16"/>
  <c r="R101" i="16" s="1"/>
  <c r="R100" i="16" s="1"/>
  <c r="R89" i="16" s="1"/>
  <c r="J117" i="16"/>
  <c r="J60" i="16"/>
  <c r="J62" i="15"/>
  <c r="J87" i="15"/>
  <c r="J60" i="14"/>
  <c r="BF114" i="14"/>
  <c r="J111" i="14"/>
  <c r="J65" i="14" s="1"/>
  <c r="BF119" i="14"/>
  <c r="J115" i="14"/>
  <c r="J66" i="14" s="1"/>
  <c r="R110" i="14"/>
  <c r="R96" i="14" s="1"/>
  <c r="R95" i="14" s="1"/>
  <c r="R88" i="14" s="1"/>
  <c r="J110" i="14"/>
  <c r="BK110" i="14"/>
  <c r="BK96" i="14" s="1"/>
  <c r="BK95" i="14" s="1"/>
  <c r="BK88" i="14" s="1"/>
  <c r="T110" i="14"/>
  <c r="T96" i="14" s="1"/>
  <c r="T95" i="14" s="1"/>
  <c r="T88" i="14" s="1"/>
  <c r="P110" i="14"/>
  <c r="P96" i="14" s="1"/>
  <c r="P95" i="14" s="1"/>
  <c r="P88" i="14" s="1"/>
  <c r="T91" i="13"/>
  <c r="T87" i="13" s="1"/>
  <c r="T86" i="13" s="1"/>
  <c r="BE93" i="13"/>
  <c r="J91" i="13"/>
  <c r="BF121" i="12"/>
  <c r="J117" i="12"/>
  <c r="J65" i="12" s="1"/>
  <c r="R116" i="12"/>
  <c r="R101" i="12" s="1"/>
  <c r="R100" i="12" s="1"/>
  <c r="R89" i="12" s="1"/>
  <c r="J116" i="12"/>
  <c r="BK116" i="12"/>
  <c r="BK101" i="12" s="1"/>
  <c r="BK100" i="12" s="1"/>
  <c r="BK89" i="12" s="1"/>
  <c r="T116" i="12"/>
  <c r="T101" i="12" s="1"/>
  <c r="T100" i="12" s="1"/>
  <c r="T89" i="12" s="1"/>
  <c r="P116" i="12"/>
  <c r="P101" i="12" s="1"/>
  <c r="P100" i="12" s="1"/>
  <c r="P89" i="12" s="1"/>
  <c r="J60" i="12"/>
  <c r="J122" i="12"/>
  <c r="J66" i="12" s="1"/>
  <c r="R91" i="11"/>
  <c r="R87" i="11" s="1"/>
  <c r="R86" i="11" s="1"/>
  <c r="BF108" i="11"/>
  <c r="J91" i="11"/>
  <c r="J64" i="10"/>
  <c r="J127" i="10"/>
  <c r="J63" i="10" s="1"/>
  <c r="BC102" i="10"/>
  <c r="J91" i="10"/>
  <c r="BK111" i="9"/>
  <c r="BK98" i="9" s="1"/>
  <c r="BK97" i="9" s="1"/>
  <c r="BK89" i="9" s="1"/>
  <c r="T111" i="9"/>
  <c r="T98" i="9" s="1"/>
  <c r="T97" i="9" s="1"/>
  <c r="T89" i="9" s="1"/>
  <c r="P111" i="9"/>
  <c r="P98" i="9" s="1"/>
  <c r="P97" i="9" s="1"/>
  <c r="P89" i="9" s="1"/>
  <c r="R111" i="9"/>
  <c r="R98" i="9" s="1"/>
  <c r="R97" i="9" s="1"/>
  <c r="R89" i="9" s="1"/>
  <c r="J111" i="9"/>
  <c r="BF133" i="9"/>
  <c r="J116" i="9"/>
  <c r="J66" i="9" s="1"/>
  <c r="J87" i="8"/>
  <c r="J60" i="7"/>
  <c r="R134" i="7"/>
  <c r="R123" i="7" s="1"/>
  <c r="J134" i="7"/>
  <c r="BK134" i="7"/>
  <c r="BK123" i="7" s="1"/>
  <c r="T134" i="7"/>
  <c r="T123" i="7" s="1"/>
  <c r="P134" i="7"/>
  <c r="P123" i="7" s="1"/>
  <c r="BF122" i="7"/>
  <c r="J118" i="7"/>
  <c r="J65" i="7" s="1"/>
  <c r="H117" i="7"/>
  <c r="J86" i="6"/>
  <c r="J60" i="6"/>
  <c r="BK122" i="5"/>
  <c r="BK118" i="5" s="1"/>
  <c r="T122" i="5"/>
  <c r="T118" i="5" s="1"/>
  <c r="P122" i="5"/>
  <c r="P118" i="5" s="1"/>
  <c r="R122" i="5"/>
  <c r="R118" i="5" s="1"/>
  <c r="J122" i="5"/>
  <c r="BF135" i="5"/>
  <c r="J123" i="5"/>
  <c r="J66" i="5" s="1"/>
  <c r="H117" i="5"/>
  <c r="J86" i="4"/>
  <c r="J60" i="4"/>
  <c r="J64" i="3"/>
  <c r="J103" i="3"/>
  <c r="J60" i="3"/>
  <c r="AY103" i="3"/>
  <c r="AY89" i="3" s="1"/>
  <c r="J86" i="2"/>
  <c r="J60" i="2"/>
  <c r="J87" i="21" l="1"/>
  <c r="J86" i="21" s="1"/>
  <c r="P91" i="19"/>
  <c r="P87" i="19" s="1"/>
  <c r="P86" i="19" s="1"/>
  <c r="BK88" i="22"/>
  <c r="BK91" i="19"/>
  <c r="BK87" i="19" s="1"/>
  <c r="BK86" i="19" s="1"/>
  <c r="J34" i="19"/>
  <c r="J63" i="22"/>
  <c r="J60" i="22"/>
  <c r="J60" i="21"/>
  <c r="BK96" i="20"/>
  <c r="J97" i="20"/>
  <c r="J64" i="20" s="1"/>
  <c r="F34" i="20"/>
  <c r="J91" i="19"/>
  <c r="BF114" i="18"/>
  <c r="J98" i="18"/>
  <c r="J62" i="17"/>
  <c r="J87" i="17"/>
  <c r="BF117" i="16"/>
  <c r="F34" i="16" s="1"/>
  <c r="J101" i="16"/>
  <c r="J86" i="15"/>
  <c r="J60" i="15"/>
  <c r="BF110" i="14"/>
  <c r="J96" i="14"/>
  <c r="J62" i="13"/>
  <c r="J87" i="13"/>
  <c r="F34" i="13"/>
  <c r="J34" i="13"/>
  <c r="BF116" i="12"/>
  <c r="J101" i="12"/>
  <c r="J62" i="11"/>
  <c r="J87" i="11"/>
  <c r="J34" i="11"/>
  <c r="F34" i="11"/>
  <c r="J62" i="10"/>
  <c r="J87" i="10"/>
  <c r="F34" i="10"/>
  <c r="J34" i="10"/>
  <c r="BF111" i="9"/>
  <c r="J98" i="9"/>
  <c r="J86" i="8"/>
  <c r="J60" i="8"/>
  <c r="BK117" i="7"/>
  <c r="BK101" i="7" s="1"/>
  <c r="BK100" i="7" s="1"/>
  <c r="BK89" i="7" s="1"/>
  <c r="T117" i="7"/>
  <c r="T101" i="7" s="1"/>
  <c r="T100" i="7" s="1"/>
  <c r="T89" i="7" s="1"/>
  <c r="P117" i="7"/>
  <c r="P101" i="7" s="1"/>
  <c r="P100" i="7" s="1"/>
  <c r="P89" i="7" s="1"/>
  <c r="R117" i="7"/>
  <c r="R101" i="7" s="1"/>
  <c r="R100" i="7" s="1"/>
  <c r="R89" i="7" s="1"/>
  <c r="J117" i="7"/>
  <c r="BF134" i="7"/>
  <c r="J123" i="7"/>
  <c r="J66" i="7" s="1"/>
  <c r="J59" i="6"/>
  <c r="J30" i="6"/>
  <c r="BK117" i="5"/>
  <c r="BK101" i="5" s="1"/>
  <c r="BK100" i="5" s="1"/>
  <c r="BK89" i="5" s="1"/>
  <c r="T117" i="5"/>
  <c r="T101" i="5" s="1"/>
  <c r="T100" i="5" s="1"/>
  <c r="T89" i="5" s="1"/>
  <c r="P117" i="5"/>
  <c r="P101" i="5" s="1"/>
  <c r="P100" i="5" s="1"/>
  <c r="P89" i="5" s="1"/>
  <c r="R117" i="5"/>
  <c r="R101" i="5" s="1"/>
  <c r="R100" i="5" s="1"/>
  <c r="R89" i="5" s="1"/>
  <c r="J117" i="5"/>
  <c r="BF122" i="5"/>
  <c r="J118" i="5"/>
  <c r="J65" i="5" s="1"/>
  <c r="J59" i="4"/>
  <c r="J30" i="4"/>
  <c r="J63" i="3"/>
  <c r="J59" i="2"/>
  <c r="J30" i="2"/>
  <c r="J34" i="16" l="1"/>
  <c r="J39" i="6"/>
  <c r="AG59" i="1"/>
  <c r="J39" i="4"/>
  <c r="AG57" i="1"/>
  <c r="J39" i="2"/>
  <c r="AG55" i="1"/>
  <c r="J138" i="22"/>
  <c r="BK138" i="22"/>
  <c r="BK137" i="22" s="1"/>
  <c r="BK136" i="22" s="1"/>
  <c r="J59" i="21"/>
  <c r="J30" i="21"/>
  <c r="J96" i="20"/>
  <c r="BK88" i="20"/>
  <c r="J62" i="19"/>
  <c r="J87" i="19"/>
  <c r="F34" i="18"/>
  <c r="J34" i="18"/>
  <c r="J97" i="18"/>
  <c r="J64" i="18"/>
  <c r="J86" i="17"/>
  <c r="J60" i="17"/>
  <c r="J100" i="16"/>
  <c r="J64" i="16"/>
  <c r="J59" i="15"/>
  <c r="J30" i="15"/>
  <c r="J64" i="14"/>
  <c r="J95" i="14"/>
  <c r="J34" i="14"/>
  <c r="F34" i="14"/>
  <c r="J86" i="13"/>
  <c r="J60" i="13"/>
  <c r="J64" i="12"/>
  <c r="J100" i="12"/>
  <c r="F34" i="12"/>
  <c r="J34" i="12"/>
  <c r="J86" i="11"/>
  <c r="J60" i="11"/>
  <c r="J86" i="10"/>
  <c r="J60" i="10"/>
  <c r="J64" i="9"/>
  <c r="J97" i="9"/>
  <c r="J34" i="9"/>
  <c r="F34" i="9"/>
  <c r="J59" i="8"/>
  <c r="J30" i="8"/>
  <c r="BF117" i="7"/>
  <c r="J101" i="7"/>
  <c r="BF117" i="5"/>
  <c r="J101" i="5"/>
  <c r="AY155" i="3"/>
  <c r="AY154" i="3" s="1"/>
  <c r="AY153" i="3" s="1"/>
  <c r="J155" i="3"/>
  <c r="J39" i="21" l="1"/>
  <c r="AG74" i="1"/>
  <c r="J39" i="15"/>
  <c r="AG68" i="1"/>
  <c r="J39" i="8"/>
  <c r="AG61" i="1"/>
  <c r="J139" i="22"/>
  <c r="BF139" i="22" s="1"/>
  <c r="BK139" i="22"/>
  <c r="BF138" i="22"/>
  <c r="J63" i="20"/>
  <c r="J86" i="19"/>
  <c r="J60" i="19"/>
  <c r="J63" i="18"/>
  <c r="J59" i="17"/>
  <c r="J30" i="17"/>
  <c r="J63" i="16"/>
  <c r="J63" i="14"/>
  <c r="J59" i="13"/>
  <c r="J30" i="13"/>
  <c r="J63" i="12"/>
  <c r="J59" i="11"/>
  <c r="J30" i="11"/>
  <c r="J59" i="10"/>
  <c r="J30" i="10"/>
  <c r="J63" i="9"/>
  <c r="J100" i="7"/>
  <c r="J64" i="7"/>
  <c r="J34" i="7"/>
  <c r="F34" i="7"/>
  <c r="J100" i="5"/>
  <c r="J64" i="5"/>
  <c r="F34" i="5"/>
  <c r="J34" i="5"/>
  <c r="AY156" i="3"/>
  <c r="J156" i="3"/>
  <c r="J39" i="17" l="1"/>
  <c r="AG70" i="1"/>
  <c r="J39" i="13"/>
  <c r="AG66" i="1"/>
  <c r="J39" i="11"/>
  <c r="AG64" i="1"/>
  <c r="J39" i="10"/>
  <c r="AG63" i="1"/>
  <c r="J141" i="22"/>
  <c r="BK141" i="22"/>
  <c r="J130" i="20"/>
  <c r="BK130" i="20"/>
  <c r="BK129" i="20" s="1"/>
  <c r="BK128" i="20" s="1"/>
  <c r="J59" i="19"/>
  <c r="J30" i="19"/>
  <c r="J144" i="18"/>
  <c r="BK144" i="18"/>
  <c r="BK143" i="18" s="1"/>
  <c r="BK142" i="18" s="1"/>
  <c r="J151" i="16"/>
  <c r="BK151" i="16"/>
  <c r="BK150" i="16" s="1"/>
  <c r="BK149" i="16" s="1"/>
  <c r="J130" i="14"/>
  <c r="BK130" i="14"/>
  <c r="BK129" i="14" s="1"/>
  <c r="BK128" i="14" s="1"/>
  <c r="J146" i="12"/>
  <c r="BK146" i="12"/>
  <c r="BK145" i="12" s="1"/>
  <c r="BK144" i="12" s="1"/>
  <c r="J148" i="9"/>
  <c r="BK148" i="9"/>
  <c r="BK147" i="9" s="1"/>
  <c r="BK146" i="9" s="1"/>
  <c r="J63" i="7"/>
  <c r="J63" i="5"/>
  <c r="AY158" i="3"/>
  <c r="J158" i="3"/>
  <c r="J154" i="3" s="1"/>
  <c r="J153" i="3" s="1"/>
  <c r="J89" i="3" s="1"/>
  <c r="J39" i="19" l="1"/>
  <c r="AG72" i="1"/>
  <c r="BF141" i="22"/>
  <c r="J137" i="22"/>
  <c r="J136" i="22" s="1"/>
  <c r="J88" i="22" s="1"/>
  <c r="BF130" i="20"/>
  <c r="J131" i="20"/>
  <c r="BF131" i="20" s="1"/>
  <c r="BK131" i="20"/>
  <c r="BF144" i="18"/>
  <c r="J145" i="18"/>
  <c r="BF145" i="18" s="1"/>
  <c r="BK145" i="18"/>
  <c r="BF151" i="16"/>
  <c r="J152" i="16"/>
  <c r="BF152" i="16" s="1"/>
  <c r="BK152" i="16"/>
  <c r="BF130" i="14"/>
  <c r="J131" i="14"/>
  <c r="BF131" i="14" s="1"/>
  <c r="BK131" i="14"/>
  <c r="BF146" i="12"/>
  <c r="J147" i="12"/>
  <c r="BF147" i="12" s="1"/>
  <c r="BK147" i="12"/>
  <c r="J149" i="9"/>
  <c r="BF149" i="9" s="1"/>
  <c r="BK149" i="9"/>
  <c r="BF148" i="9"/>
  <c r="J148" i="7"/>
  <c r="BK148" i="7"/>
  <c r="BK147" i="7" s="1"/>
  <c r="BK146" i="7" s="1"/>
  <c r="J150" i="5"/>
  <c r="BK150" i="5"/>
  <c r="BK149" i="5" s="1"/>
  <c r="BK148" i="5" s="1"/>
  <c r="J59" i="3"/>
  <c r="J30" i="3"/>
  <c r="J39" i="3" l="1"/>
  <c r="AG56" i="1"/>
  <c r="J59" i="22"/>
  <c r="J30" i="22"/>
  <c r="J133" i="20"/>
  <c r="BF133" i="20" s="1"/>
  <c r="BK133" i="20"/>
  <c r="J129" i="20"/>
  <c r="J128" i="20" s="1"/>
  <c r="J88" i="20" s="1"/>
  <c r="J147" i="18"/>
  <c r="BF147" i="18" s="1"/>
  <c r="BK147" i="18"/>
  <c r="J154" i="16"/>
  <c r="BF154" i="16" s="1"/>
  <c r="BK154" i="16"/>
  <c r="J133" i="14"/>
  <c r="BF133" i="14" s="1"/>
  <c r="BK133" i="14"/>
  <c r="J129" i="14"/>
  <c r="J128" i="14" s="1"/>
  <c r="J88" i="14" s="1"/>
  <c r="J149" i="12"/>
  <c r="BF149" i="12" s="1"/>
  <c r="BK149" i="12"/>
  <c r="J145" i="12"/>
  <c r="J144" i="12" s="1"/>
  <c r="J89" i="12" s="1"/>
  <c r="J151" i="9"/>
  <c r="BK151" i="9"/>
  <c r="BF148" i="7"/>
  <c r="J149" i="7"/>
  <c r="BF149" i="7" s="1"/>
  <c r="BK149" i="7"/>
  <c r="BF150" i="5"/>
  <c r="J151" i="5"/>
  <c r="BF151" i="5" s="1"/>
  <c r="BK151" i="5"/>
  <c r="J150" i="16" l="1"/>
  <c r="J149" i="16" s="1"/>
  <c r="J89" i="16" s="1"/>
  <c r="J30" i="16" s="1"/>
  <c r="J143" i="18"/>
  <c r="J142" i="18" s="1"/>
  <c r="J89" i="18" s="1"/>
  <c r="J39" i="22"/>
  <c r="AG75" i="1"/>
  <c r="J59" i="20"/>
  <c r="J30" i="20"/>
  <c r="J59" i="18"/>
  <c r="J30" i="18"/>
  <c r="J59" i="16"/>
  <c r="J59" i="14"/>
  <c r="J30" i="14"/>
  <c r="J59" i="12"/>
  <c r="J30" i="12"/>
  <c r="BF151" i="9"/>
  <c r="J147" i="9"/>
  <c r="J146" i="9" s="1"/>
  <c r="J89" i="9" s="1"/>
  <c r="J151" i="7"/>
  <c r="BF151" i="7" s="1"/>
  <c r="BK151" i="7"/>
  <c r="J153" i="5"/>
  <c r="BF153" i="5" s="1"/>
  <c r="BK153" i="5"/>
  <c r="J147" i="7" l="1"/>
  <c r="J146" i="7" s="1"/>
  <c r="J89" i="7" s="1"/>
  <c r="J30" i="7" s="1"/>
  <c r="J149" i="5"/>
  <c r="J148" i="5" s="1"/>
  <c r="J89" i="5" s="1"/>
  <c r="J39" i="20"/>
  <c r="AG73" i="1"/>
  <c r="J39" i="18"/>
  <c r="AG71" i="1"/>
  <c r="J39" i="16"/>
  <c r="AG69" i="1"/>
  <c r="J39" i="14"/>
  <c r="AG67" i="1"/>
  <c r="J39" i="12"/>
  <c r="AG65" i="1"/>
  <c r="J59" i="9"/>
  <c r="J30" i="9"/>
  <c r="J59" i="7"/>
  <c r="J59" i="5"/>
  <c r="J30" i="5"/>
  <c r="J39" i="9" l="1"/>
  <c r="AG62" i="1"/>
  <c r="J39" i="7"/>
  <c r="AG60" i="1"/>
  <c r="J39" i="5"/>
  <c r="AG58" i="1"/>
  <c r="AG54" i="1" s="1"/>
  <c r="AK26" i="1" s="1"/>
</calcChain>
</file>

<file path=xl/sharedStrings.xml><?xml version="1.0" encoding="utf-8"?>
<sst xmlns="http://schemas.openxmlformats.org/spreadsheetml/2006/main" count="15183" uniqueCount="672">
  <si>
    <t>Export Komplet</t>
  </si>
  <si>
    <t>False</t>
  </si>
  <si>
    <t>{374814bb-5bea-459e-8cf5-a09db697fceb}</t>
  </si>
  <si>
    <t>20</t>
  </si>
  <si>
    <t>REKAPITULÁCIA STAVBY</t>
  </si>
  <si>
    <t>Kód:</t>
  </si>
  <si>
    <t>2019-11-2</t>
  </si>
  <si>
    <t>Stavba:</t>
  </si>
  <si>
    <t>JKSO:</t>
  </si>
  <si>
    <t/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</si>
  <si>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</si>
  <si>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</si>
  <si>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</si>
  <si>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</si>
  <si>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</si>
  <si>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</si>
  <si>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</si>
  <si>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</si>
  <si>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</si>
  <si>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</si>
  <si>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</si>
  <si>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</si>
  <si>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</si>
  <si>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</si>
  <si>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</si>
  <si>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</si>
  <si>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</si>
  <si>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</si>
  <si>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</si>
  <si>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</si>
  <si>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</si>
  <si>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</si>
  <si>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</si>
  <si>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</si>
  <si>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</si>
  <si>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Kód</t>
  </si>
  <si>
    <t>Popis</t>
  </si>
  <si>
    <t>Cena bez DPH [EUR]</t>
  </si>
  <si>
    <t>Náklady z rozpočtov</t>
  </si>
  <si>
    <t>0</t>
  </si>
  <si>
    <t>/</t>
  </si>
  <si>
    <t>A- demontáž</t>
  </si>
  <si>
    <t>1</t>
  </si>
  <si>
    <t>{3d591589-06f0-4b68-8fb5-95e0f1989de6}</t>
  </si>
  <si>
    <t>A montáž</t>
  </si>
  <si>
    <t>{e4e6b15c-d9a0-470d-80e5-7ffaaf913017}</t>
  </si>
  <si>
    <t>B- demontáž</t>
  </si>
  <si>
    <t>{fcf3709f-2c1e-4ad3-9b4a-04f09f881a9f}</t>
  </si>
  <si>
    <t>B -montáž</t>
  </si>
  <si>
    <t>{035684c3-f4de-40fa-a423-bd75d4770f5f}</t>
  </si>
  <si>
    <t>C atrium- demontáž</t>
  </si>
  <si>
    <t>{0977b3a8-55ee-4f4b-aba2-e2835cc60141}</t>
  </si>
  <si>
    <t>C montáž</t>
  </si>
  <si>
    <t>{05fdf45b-e438-48af-967b-19340ec116b9}</t>
  </si>
  <si>
    <t>C1- demontáž</t>
  </si>
  <si>
    <t>{a8796f86-0532-4eae-9c1d-7028194dcea9}</t>
  </si>
  <si>
    <t>E-  montáž</t>
  </si>
  <si>
    <t>{7ff252ed-a6e5-47c5-ae33-adf83e6fccc1}</t>
  </si>
  <si>
    <t>E- demontáž</t>
  </si>
  <si>
    <t>{cd668106-a111-4825-9116-c18c278933c5}</t>
  </si>
  <si>
    <t>F- demontáž</t>
  </si>
  <si>
    <t>{47966845-ffd5-45c9-a849-7530beb7a60f}</t>
  </si>
  <si>
    <t>F montáž</t>
  </si>
  <si>
    <t>{5db21d76-4beb-45e7-ae2d-05484c56d5da}</t>
  </si>
  <si>
    <t>G- demontáž</t>
  </si>
  <si>
    <t>{7652408c-cb74-4054-bb53-bf52c33f2953}</t>
  </si>
  <si>
    <t>G montáž</t>
  </si>
  <si>
    <t>{edb59854-378f-4efa-a0a9-4562336fddd9}</t>
  </si>
  <si>
    <t>I- demontáž</t>
  </si>
  <si>
    <t>{e6e0ba75-f606-410c-be79-fe401dd42abf}</t>
  </si>
  <si>
    <t>I montáž</t>
  </si>
  <si>
    <t>{f3820553-ea67-41c0-89c9-a5c914ca6719}</t>
  </si>
  <si>
    <t>J- demontáž</t>
  </si>
  <si>
    <t>{acb36853-438f-48e5-b88d-8b02795fb3a4}</t>
  </si>
  <si>
    <t>J montáž</t>
  </si>
  <si>
    <t>{096bd7a9-e9d7-4efb-8870-bbd09fbc0985}</t>
  </si>
  <si>
    <t>K- demontáž</t>
  </si>
  <si>
    <t>{f24bfa7d-0b7e-438b-921c-a28c392c3f86}</t>
  </si>
  <si>
    <t>K montáž</t>
  </si>
  <si>
    <t>{612bff89-81a6-47a4-b60e-97a90220a9a1}</t>
  </si>
  <si>
    <t>T- demontáž</t>
  </si>
  <si>
    <t>{40a72450-4a9a-4206-b9fc-b0c61e32f820}</t>
  </si>
  <si>
    <t>T montáž</t>
  </si>
  <si>
    <t>{40d11d67-4d7a-4886-909e-98fa5e7f2b8f}</t>
  </si>
  <si>
    <t>&gt;&gt;  skryté stĺpce  &lt;&lt;</t>
  </si>
  <si>
    <t>m1</t>
  </si>
  <si>
    <t>kg</t>
  </si>
  <si>
    <t>95382</t>
  </si>
  <si>
    <t>2</t>
  </si>
  <si>
    <t>m3</t>
  </si>
  <si>
    <t>ost</t>
  </si>
  <si>
    <t>13482,1</t>
  </si>
  <si>
    <t>KRYCÍ LIST ROZPOČTU</t>
  </si>
  <si>
    <t>v ---  nižšie sa nachádzajú doplnkové a pomocné údaje k zostavám  --- v</t>
  </si>
  <si>
    <t>ostatný odpad</t>
  </si>
  <si>
    <t>13,482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</si>
  <si>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</si>
  <si>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</si>
  <si>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</si>
  <si>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</si>
  <si>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</si>
  <si>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</si>
  <si>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</si>
  <si>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</si>
  <si>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</si>
  <si>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</si>
  <si>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712 - Izolácie striech, povlakové krytiny</t>
  </si>
  <si>
    <t xml:space="preserve">    764 - Konštrukcie klampiarske</t>
  </si>
  <si>
    <t xml:space="preserve">    767 - Konštrukcie doplnkové kovové</t>
  </si>
  <si>
    <t>ROZPOČET</t>
  </si>
  <si>
    <t>strecha "A" demontáž</t>
  </si>
  <si>
    <t>PČ</t>
  </si>
  <si>
    <t>Typ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</si>
  <si>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</si>
  <si>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</si>
  <si>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</si>
  <si>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</si>
  <si>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</si>
  <si>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</si>
  <si>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</si>
  <si>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</si>
  <si>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</si>
  <si>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</si>
  <si>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</si>
  <si>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HSV</t>
  </si>
  <si>
    <t>Práce a dodávky HSV</t>
  </si>
  <si>
    <t>ROZPOCET</t>
  </si>
  <si>
    <t>6</t>
  </si>
  <si>
    <t>Úpravy povrchov, podlahy, osadenie</t>
  </si>
  <si>
    <t>K</t>
  </si>
  <si>
    <t>965042121</t>
  </si>
  <si>
    <t>Demontáž rozrážacích klinov z betonového poteru- búranie betónových podkladov pod dlažby hr. Do 100 mm</t>
  </si>
  <si>
    <t>4</t>
  </si>
  <si>
    <t>1362154623</t>
  </si>
  <si>
    <t>632-R10</t>
  </si>
  <si>
    <t>Demontáž bleskozvodu</t>
  </si>
  <si>
    <t>m2</t>
  </si>
  <si>
    <t>205060441</t>
  </si>
  <si>
    <t>9</t>
  </si>
  <si>
    <t>Ostatné konštrukcie a práce-búranie</t>
  </si>
  <si>
    <t>3</t>
  </si>
  <si>
    <t>113106121</t>
  </si>
  <si>
    <t xml:space="preserve">Búranie dlažieb,  vrátane demontáže terčíkov </t>
  </si>
  <si>
    <t>1744610773</t>
  </si>
  <si>
    <t>979082111</t>
  </si>
  <si>
    <t>Vnútrostavenisková doprava sutiny a vybúraných hmôt do 10 m</t>
  </si>
  <si>
    <t>t</t>
  </si>
  <si>
    <t>1870573739</t>
  </si>
  <si>
    <t>979082121</t>
  </si>
  <si>
    <t>Vnútrostavenisková doprava sutiny a vybúraných hmôt za každých ďalších 5 m</t>
  </si>
  <si>
    <t>"50m"</t>
  </si>
  <si>
    <t>9790831PC</t>
  </si>
  <si>
    <t xml:space="preserve">Vybudovanie mediskladky vybúraných hmôt určených pre spätnú montáž </t>
  </si>
  <si>
    <t>kpl</t>
  </si>
  <si>
    <t>979089212</t>
  </si>
  <si>
    <t>Poplatok za skladovanie - bitúmenové zmesi, uholný decht, dechtové výrobky (17 03 ), ostatné - bitumenové a asfaltové pásy</t>
  </si>
  <si>
    <t>CS CENEKON 2019 01</t>
  </si>
  <si>
    <t>1244546268</t>
  </si>
  <si>
    <t>979011111</t>
  </si>
  <si>
    <t>Zvislá doprava sutiny a vybúraných hmôt za prvé podlažie nad alebo pod základným podlažím</t>
  </si>
  <si>
    <t>1395435683</t>
  </si>
  <si>
    <t>VV</t>
  </si>
  <si>
    <t>m1/1000</t>
  </si>
  <si>
    <t>True</t>
  </si>
  <si>
    <t>979011121</t>
  </si>
  <si>
    <t>Zvislá doprava sutiny a vybúraných hmôt za každé ďalšie podlažie</t>
  </si>
  <si>
    <t>-840454957</t>
  </si>
  <si>
    <t>979081111</t>
  </si>
  <si>
    <t>Odvoz sutiny a vybúraných hmôt na skládku do 1 km</t>
  </si>
  <si>
    <t>-1134632131</t>
  </si>
  <si>
    <t>979081121</t>
  </si>
  <si>
    <t>Odvoz sutiny a vybúraných hmôt na skládku za každý ďalší 1 km</t>
  </si>
  <si>
    <t>-685674845</t>
  </si>
  <si>
    <t>m1/1000*14</t>
  </si>
  <si>
    <t>979089012</t>
  </si>
  <si>
    <t>Poplatok za skladovanie - betón, tehly, dlaždice (17 01 ), ostatné</t>
  </si>
  <si>
    <t>-450755686</t>
  </si>
  <si>
    <t>22000310</t>
  </si>
  <si>
    <t>-238258824</t>
  </si>
  <si>
    <t>2067120157</t>
  </si>
  <si>
    <t>1845131181</t>
  </si>
  <si>
    <t>229,325*14</t>
  </si>
  <si>
    <t>979089612</t>
  </si>
  <si>
    <t>Poplatok za skladovanie - iné odpady zo stavieb a demolácií (17 09), ostatné</t>
  </si>
  <si>
    <t>952184524</t>
  </si>
  <si>
    <t>1669992559</t>
  </si>
  <si>
    <t>-1019238927</t>
  </si>
  <si>
    <t>13,482*9</t>
  </si>
  <si>
    <t>1650960130</t>
  </si>
  <si>
    <t>2047863110</t>
  </si>
  <si>
    <t>ost*14</t>
  </si>
  <si>
    <t>PSV</t>
  </si>
  <si>
    <t>Práce a dodávky PSV</t>
  </si>
  <si>
    <t>712</t>
  </si>
  <si>
    <t>Izolácie striech, povlakové krytiny</t>
  </si>
  <si>
    <t>712300831</t>
  </si>
  <si>
    <t>Odstránenie povlakovej krytiny na strechách plochých 10° jednovrstvovej,  -0,00600t- vodorovná</t>
  </si>
  <si>
    <t>16</t>
  </si>
  <si>
    <t>-65783887</t>
  </si>
  <si>
    <t>711131102-R1</t>
  </si>
  <si>
    <t>Demontáž  geotextílie alebo tkaniny na plochu vodorovnú</t>
  </si>
  <si>
    <t>22064683</t>
  </si>
  <si>
    <t>745+712</t>
  </si>
  <si>
    <t>764R-35</t>
  </si>
  <si>
    <t>dočasne premiestnenie VZT jednotiek, vrátane spätného osadenia</t>
  </si>
  <si>
    <t>ks</t>
  </si>
  <si>
    <t>2141930601</t>
  </si>
  <si>
    <t>712300831-1</t>
  </si>
  <si>
    <t>Odstránenie povlakovej krytiny na strechách plochých 10° jednovrstvovej,  -0,00600t-zvislá</t>
  </si>
  <si>
    <t>-844086092</t>
  </si>
  <si>
    <t>71250-pc</t>
  </si>
  <si>
    <t>Odstranenie  krytiny - asfaltové pásy  dvojvrstvovej</t>
  </si>
  <si>
    <t>286860853</t>
  </si>
  <si>
    <t>2378,64+490,35</t>
  </si>
  <si>
    <t>712500834</t>
  </si>
  <si>
    <t>Odstránenie asfaltovej krytiny za,každu ďalšiu vrstvu</t>
  </si>
  <si>
    <t>375008234</t>
  </si>
  <si>
    <t>2378*3</t>
  </si>
  <si>
    <t>Súčet</t>
  </si>
  <si>
    <t>712500pc</t>
  </si>
  <si>
    <t>Provizorne opatrenie proti zatečeniu ( napríklad dr. konštrukcia + fólia ) 60% výmery strechy</t>
  </si>
  <si>
    <t>906629896</t>
  </si>
  <si>
    <t>Mechanicke očistenie podkladu ( príprava na penetraciu)</t>
  </si>
  <si>
    <t>764</t>
  </si>
  <si>
    <t>Konštrukcie klampiarske</t>
  </si>
  <si>
    <t>764R-33</t>
  </si>
  <si>
    <t>demontáž odvetravacích komínkov</t>
  </si>
  <si>
    <t>917182980</t>
  </si>
  <si>
    <t>7644218pc</t>
  </si>
  <si>
    <t>Demontáž okapnic na fasade</t>
  </si>
  <si>
    <t>m</t>
  </si>
  <si>
    <t>29718233</t>
  </si>
  <si>
    <t>764-R1</t>
  </si>
  <si>
    <t>Demontáž  atikových plechov, oplechovania dilatácie</t>
  </si>
  <si>
    <t>bm</t>
  </si>
  <si>
    <t>1444806721</t>
  </si>
  <si>
    <t>31a</t>
  </si>
  <si>
    <t>764391840</t>
  </si>
  <si>
    <t>Demontáž ostatných strešných prvkov zpásové príponky rš 350 mm,  -0,00250t</t>
  </si>
  <si>
    <t>764R-34</t>
  </si>
  <si>
    <t>demontáž vpusti</t>
  </si>
  <si>
    <t>-1662508456</t>
  </si>
  <si>
    <t>767</t>
  </si>
  <si>
    <t>Konštrukcie doplnkové kovové</t>
  </si>
  <si>
    <t>767996802</t>
  </si>
  <si>
    <t>Demontáž ostatných doplnkov stavieb s hmotnosťou jednotlivých dielov konštr. nad 50 do 100 kg,  -0,00100t</t>
  </si>
  <si>
    <t>562363627</t>
  </si>
  <si>
    <t>ms1</t>
  </si>
  <si>
    <t>medzi</t>
  </si>
  <si>
    <t>111,75</t>
  </si>
  <si>
    <t xml:space="preserve">    99 - Presun hmôt HSV</t>
  </si>
  <si>
    <t xml:space="preserve">    713 - Izolácie tepelné</t>
  </si>
  <si>
    <t>M - Práce a dodávky M</t>
  </si>
  <si>
    <t xml:space="preserve">    21-M - Elektromontáže</t>
  </si>
  <si>
    <t>strecha "A" montáž</t>
  </si>
  <si>
    <t>612460221</t>
  </si>
  <si>
    <t>Vnútorná omietka stien vápenná -  vyspravenie miest pri okapničkách</t>
  </si>
  <si>
    <t>-483471954</t>
  </si>
  <si>
    <t>632200030</t>
  </si>
  <si>
    <t>Montáž dlažby 40x40 kladená na sucho na rektifikačné terče  na plochých strechách</t>
  </si>
  <si>
    <t>-1497414786</t>
  </si>
  <si>
    <t>M</t>
  </si>
  <si>
    <t>592460013700</t>
  </si>
  <si>
    <t>Dlažba betónová , rozmer 400x400mm</t>
  </si>
  <si>
    <t>8</t>
  </si>
  <si>
    <t>-225776957</t>
  </si>
  <si>
    <t xml:space="preserve">Montáž dlažby 20x20 kladená na sucho na rektifikačné terče  na plochých strechách </t>
  </si>
  <si>
    <t>Dlažba betónová , rozmer 200x200 mm</t>
  </si>
  <si>
    <t>283810001400</t>
  </si>
  <si>
    <t>Terč rektifikačný na inštaláciu dlažieb 400/400 (6,25 ks /m2)</t>
  </si>
  <si>
    <t>-992784500</t>
  </si>
  <si>
    <t>Terč rektifikačný na inštaláciu dlažieb 200/200(12,2 ks/m2)</t>
  </si>
  <si>
    <t>632452612</t>
  </si>
  <si>
    <t>Cementový vyrovnávací poter, hr. 4 mm- (popraskané, vydrolené škáry a diery )</t>
  </si>
  <si>
    <t>-375777947</t>
  </si>
  <si>
    <t>"70% plochy striech"</t>
  </si>
  <si>
    <t>99</t>
  </si>
  <si>
    <t>Presun hmôt HSV</t>
  </si>
  <si>
    <t>998011003</t>
  </si>
  <si>
    <t>Presun hmôt pre budovy (801, 803, 812), zvislá konštr. z tehál, tvárnic, z kovu výšky do 24 m</t>
  </si>
  <si>
    <t>-624711708</t>
  </si>
  <si>
    <t>712311101</t>
  </si>
  <si>
    <t>Zhotovenie penetracie podkladu</t>
  </si>
  <si>
    <t>-1870998646</t>
  </si>
  <si>
    <t>246170001000</t>
  </si>
  <si>
    <t>Asfaltová penetracia</t>
  </si>
  <si>
    <t>32</t>
  </si>
  <si>
    <t>248155738</t>
  </si>
  <si>
    <t>3010,92*0,00075 'Přepočítané koeficientom množstva</t>
  </si>
  <si>
    <t>712331101</t>
  </si>
  <si>
    <t>Zhotovenie povlak. krytiny striech plochých do 10° pásmi na sucho AIP, NAIP alebo tkaniny ( lepenka na a pod kliny)  vrátane materialu</t>
  </si>
  <si>
    <t>-1414385349</t>
  </si>
  <si>
    <t>270,11*2</t>
  </si>
  <si>
    <t>712341759</t>
  </si>
  <si>
    <t>Zhotovenie povlakovej krytiny striech plochých do 10° pásmi pritavením NAIP na celej ploche, modifikované pásy v dvoch vrstvách- vodorovná</t>
  </si>
  <si>
    <t>99999157</t>
  </si>
  <si>
    <t>7123417pc</t>
  </si>
  <si>
    <t>Zhotovenie povlakovej krytiny striech plochých do 10° pásmi pritavením NAIP na celej ploche, modifikované pásy v dvoch vrstvách- zvisla</t>
  </si>
  <si>
    <t>-625608664</t>
  </si>
  <si>
    <t>628320000700</t>
  </si>
  <si>
    <t>Pás hydroizolačný asflatovaný , hr. 3,0 mm, - 1 vrstva  zvýšená odolnost pásu proti stekaniu, min. 120°C, so skelnenou rohožou 50g/m2, záruka 10 rokov</t>
  </si>
  <si>
    <t>203509</t>
  </si>
  <si>
    <t>1,15 'Přepočítané koeficientom množstva</t>
  </si>
  <si>
    <t>62832000-1</t>
  </si>
  <si>
    <t>Pás hydroizolačný asflatovaný , hr. 4,0 mm, - 2 vrstva  zvýšená odolnost pásu proti stekaniu, min. 120°C, PES runo 180g/m2, záruka 10 rokov</t>
  </si>
  <si>
    <t>1038656103</t>
  </si>
  <si>
    <t>PC-1</t>
  </si>
  <si>
    <t>Výstužný pásik 33 cm asfaltového pásu ( detaily )</t>
  </si>
  <si>
    <t>909754018</t>
  </si>
  <si>
    <t>712990040</t>
  </si>
  <si>
    <t>Položenie geotextílie vodorovne alebo zvislo na strechy ploché  ( pod dlažbu)</t>
  </si>
  <si>
    <t>1793560972</t>
  </si>
  <si>
    <t>693110001300</t>
  </si>
  <si>
    <t>Geotextília 250g/m2 pod dlažbu</t>
  </si>
  <si>
    <t>502302569</t>
  </si>
  <si>
    <t>745*1,15</t>
  </si>
  <si>
    <t>712-PC22</t>
  </si>
  <si>
    <t>Osadenie hotovej strešnej vpuste</t>
  </si>
  <si>
    <t>-734514175</t>
  </si>
  <si>
    <t>2837700PC</t>
  </si>
  <si>
    <t>Strešná vpusť - nevyhrievaná</t>
  </si>
  <si>
    <t>-93104411</t>
  </si>
  <si>
    <t>998712203</t>
  </si>
  <si>
    <t>Presun hmôt pre izoláciu povlakovej krytiny v objektoch výšky nad 12 do 24 m</t>
  </si>
  <si>
    <t>%</t>
  </si>
  <si>
    <t>-940672775</t>
  </si>
  <si>
    <t>713</t>
  </si>
  <si>
    <t>Izolácie tepelné</t>
  </si>
  <si>
    <t>713170120</t>
  </si>
  <si>
    <t>Montáž spádového klinu z EPS na balkóny a terasy lepením</t>
  </si>
  <si>
    <t>-2127871693</t>
  </si>
  <si>
    <t>283720001800</t>
  </si>
  <si>
    <t>Spádový klin - polystyren ( EPS)</t>
  </si>
  <si>
    <t>-1760251910</t>
  </si>
  <si>
    <t>850,847*1,15</t>
  </si>
  <si>
    <t>713pc</t>
  </si>
  <si>
    <t>Montáž  a dodávka termoflexom ( izolácia potrubia)</t>
  </si>
  <si>
    <t>394104056</t>
  </si>
  <si>
    <t>998713203</t>
  </si>
  <si>
    <t>Presun hmôt pre izolácie tepelné v objektoch výšky nad 12 m do 24 m</t>
  </si>
  <si>
    <t>473257798</t>
  </si>
  <si>
    <t>764323420</t>
  </si>
  <si>
    <t xml:space="preserve">Oplechovanie z lak. plechu, odkvapov na strechách s lepenkovou krytinou </t>
  </si>
  <si>
    <t>-1323158047</t>
  </si>
  <si>
    <t>76434-pc</t>
  </si>
  <si>
    <t>D+M odvetravacie  komínky s odvodom kondenzatov</t>
  </si>
  <si>
    <t>1866633507</t>
  </si>
  <si>
    <t>764430430</t>
  </si>
  <si>
    <t>Oplechovanie muriva a atík z pozinkovaného farbeného PZf plechu, vrátane rohov r.š. 400 mm</t>
  </si>
  <si>
    <t>-790358972</t>
  </si>
  <si>
    <t xml:space="preserve">"atikový plech RŠ 0,37 m" </t>
  </si>
  <si>
    <t>764430440</t>
  </si>
  <si>
    <t>Oplechovanie muriva a atík z pozinkovaného farbeného PZf plechu, vrátane rohov r.š. 500 mm</t>
  </si>
  <si>
    <t>1270037239</t>
  </si>
  <si>
    <t xml:space="preserve">"atikový plech RŠ 0,47" </t>
  </si>
  <si>
    <t>"atikový plech RŠ 0,52"</t>
  </si>
  <si>
    <t>764430460</t>
  </si>
  <si>
    <t>Oplechovanie muriva a atík z pozinkovaného farbeného PZf plechu, vrátane rohov r.š. 750 mm</t>
  </si>
  <si>
    <t>46524042</t>
  </si>
  <si>
    <t>"atikový plech RŠ 0,64 m"</t>
  </si>
  <si>
    <t>764 - PC 2</t>
  </si>
  <si>
    <t>Dodávka amontáž priebežnej príponky v mieste obkladu RŠ  350 mm hr, plechu 1 mm</t>
  </si>
  <si>
    <t>7644454pc</t>
  </si>
  <si>
    <t>Dvojdielna dilatácia z lak. plechu, škár, muriva a stropov, , r.š. 770 mm</t>
  </si>
  <si>
    <t>-1829752481</t>
  </si>
  <si>
    <t>764-PC1</t>
  </si>
  <si>
    <t>D+M prítlačna lišta</t>
  </si>
  <si>
    <t>1071767989</t>
  </si>
  <si>
    <t>998764203</t>
  </si>
  <si>
    <t>Presun hmôt pre konštrukcie klampiarske v objektoch výšky nad 12 do 24 m</t>
  </si>
  <si>
    <t>1574971415</t>
  </si>
  <si>
    <t>7678321pc</t>
  </si>
  <si>
    <t>Montáž rebríkov ( spatná montáž zdemontovaných rebríkov s dodatočnou úpravou po demontáži)</t>
  </si>
  <si>
    <t>-434226925</t>
  </si>
  <si>
    <t>998767203</t>
  </si>
  <si>
    <t>Presun hmôt pre kovové stavebné doplnkové konštrukcie v objektoch výšky nad 12 do 24 m</t>
  </si>
  <si>
    <t>2110289845</t>
  </si>
  <si>
    <t>783</t>
  </si>
  <si>
    <t>Nátery</t>
  </si>
  <si>
    <t>783226100</t>
  </si>
  <si>
    <t>Nátery kov.stav.doplnk.konštr. syntetické na vzduchu schnúce základný</t>
  </si>
  <si>
    <t>783222100</t>
  </si>
  <si>
    <t>Nátery kov.stav.doplnk.konštr. syntetické farby šedej na vzduchu schnúce dvojnásobné - 70µm</t>
  </si>
  <si>
    <t>Práce a dodávky M</t>
  </si>
  <si>
    <t>21-M</t>
  </si>
  <si>
    <t>Elektromontáže</t>
  </si>
  <si>
    <t>2102pc</t>
  </si>
  <si>
    <t>d+m bleskozvod nového bleskozvodu</t>
  </si>
  <si>
    <t>64</t>
  </si>
  <si>
    <t>1970203760</t>
  </si>
  <si>
    <t>Náklady neobsiahnuté v orientačných cenách stavebnomontážnýh prác</t>
  </si>
  <si>
    <t>O</t>
  </si>
  <si>
    <t>Ostatné</t>
  </si>
  <si>
    <t>00001</t>
  </si>
  <si>
    <t xml:space="preserve">Príprava a zriadenie staveniska </t>
  </si>
  <si>
    <t>00002</t>
  </si>
  <si>
    <t xml:space="preserve">Vnútrostaveniskový presun </t>
  </si>
  <si>
    <t>00003</t>
  </si>
  <si>
    <t>Prenájom a autodoprava autožeriavu</t>
  </si>
  <si>
    <t>hod</t>
  </si>
  <si>
    <t>00004</t>
  </si>
  <si>
    <t>Vplyv územia - územie so sťaženými  podmienkami</t>
  </si>
  <si>
    <t xml:space="preserve">A- demontáž </t>
  </si>
  <si>
    <t>Nemocnice Sv. Cyrila a Metoda v Bratislave</t>
  </si>
  <si>
    <t xml:space="preserve">A - montáž </t>
  </si>
  <si>
    <t>94212</t>
  </si>
  <si>
    <t>12002,2</t>
  </si>
  <si>
    <t>12,002</t>
  </si>
  <si>
    <t>strecha "B" demontáž</t>
  </si>
  <si>
    <t>94,212*10</t>
  </si>
  <si>
    <t>197,592*10</t>
  </si>
  <si>
    <t>197,592*14</t>
  </si>
  <si>
    <t>m3/1000</t>
  </si>
  <si>
    <t>m3/1000*10</t>
  </si>
  <si>
    <t>m3/1000*14</t>
  </si>
  <si>
    <t>2405,16+543,9</t>
  </si>
  <si>
    <t>Odstránenie asfaltovej krytiny za,každeu ďalšiu vrstvu</t>
  </si>
  <si>
    <t>2405,16*3</t>
  </si>
  <si>
    <t>30a</t>
  </si>
  <si>
    <t>strecha "B" montáž</t>
  </si>
  <si>
    <t>Montáž dlažby 20x20 kladená na sucho na rektifikačné terče  na plochých strechách</t>
  </si>
  <si>
    <t>Dlažba betónová , rozmer 200x200</t>
  </si>
  <si>
    <t>5</t>
  </si>
  <si>
    <t>Cementový poter, hr. 4 mm- (popraskané, vydrolené škáry a diery )</t>
  </si>
  <si>
    <t>7</t>
  </si>
  <si>
    <t>2949,06*0,00075 'Přepočítané koeficientom množstva</t>
  </si>
  <si>
    <t>262*2</t>
  </si>
  <si>
    <t>10</t>
  </si>
  <si>
    <t>11</t>
  </si>
  <si>
    <t>12</t>
  </si>
  <si>
    <t>(2405,16+543,9)*1,15 'Přepočítané koeficientom množstva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</si>
  <si>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</si>
  <si>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</si>
  <si>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</si>
  <si>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</si>
  <si>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</si>
  <si>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</si>
  <si>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</si>
  <si>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</si>
  <si>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</si>
  <si>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</si>
  <si>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</si>
  <si>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</si>
  <si>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643078443</t>
  </si>
  <si>
    <t>27</t>
  </si>
  <si>
    <t>-868662569</t>
  </si>
  <si>
    <t>"atikový plech RŠ 0,66 +0,72+0,77 m"</t>
  </si>
  <si>
    <t>28</t>
  </si>
  <si>
    <t>29</t>
  </si>
  <si>
    <t>29a</t>
  </si>
  <si>
    <t>30</t>
  </si>
  <si>
    <t>31</t>
  </si>
  <si>
    <t>33</t>
  </si>
  <si>
    <t>rebríky</t>
  </si>
  <si>
    <t>konštrukcia pre VZT</t>
  </si>
  <si>
    <t>28512</t>
  </si>
  <si>
    <t>3696</t>
  </si>
  <si>
    <t>3,696</t>
  </si>
  <si>
    <t>strecha "C atrium" demontáž</t>
  </si>
  <si>
    <t>1627809092</t>
  </si>
  <si>
    <t>959402167</t>
  </si>
  <si>
    <t>m1*4/1000</t>
  </si>
  <si>
    <t>151,244*4</t>
  </si>
  <si>
    <t>151,244*14</t>
  </si>
  <si>
    <t>ost*4</t>
  </si>
  <si>
    <t>712341759-24</t>
  </si>
  <si>
    <t>Demontáž spodného asfaltového pásu s hliníkovou vložkou</t>
  </si>
  <si>
    <t>-535486990</t>
  </si>
  <si>
    <t>733+118</t>
  </si>
  <si>
    <t>733*1</t>
  </si>
  <si>
    <t>strecha "C" montáž</t>
  </si>
  <si>
    <t>Montáž dlažby 40x40 kladená na sucho na rektifikačné terče  na plochých strechách ( spätná montáž zdemontovanej pôvodnej dlažby)</t>
  </si>
  <si>
    <t>Dlažba betónová , rozmer 400x400 mm</t>
  </si>
  <si>
    <t>1940,67*0,00075 'Přepočítané koeficientom množstva</t>
  </si>
  <si>
    <t>232,84*2</t>
  </si>
  <si>
    <t>(1668,72+271,95)*1,15 'Přepočítané koeficientom množstva</t>
  </si>
  <si>
    <t>D+M odvetravacie plastové komínky s odvodom kondenzatov</t>
  </si>
  <si>
    <t>7644302pc</t>
  </si>
  <si>
    <t>Oplechovanie muriva a atík z lak. plechu, vrátane rohov r.š. 1040 mm</t>
  </si>
  <si>
    <t>-2050740654</t>
  </si>
  <si>
    <t>-692817125</t>
  </si>
  <si>
    <t>"atikový plech RŠ 0,66 m"</t>
  </si>
  <si>
    <t>7644304pc</t>
  </si>
  <si>
    <t>Oplechovanie muriva a atík z pozinkovaného farbeného PZf plechu, vrátane rohov r.š. 1040 mm</t>
  </si>
  <si>
    <t>-1094390868</t>
  </si>
  <si>
    <t>"atikový plech RŠ 1,04 m"</t>
  </si>
  <si>
    <t xml:space="preserve">C montáž </t>
  </si>
  <si>
    <t xml:space="preserve">B -montáž </t>
  </si>
  <si>
    <t>25218</t>
  </si>
  <si>
    <t>6514</t>
  </si>
  <si>
    <t>6,514</t>
  </si>
  <si>
    <t>strecha "C1" demontáž</t>
  </si>
  <si>
    <t>m1*5/1000</t>
  </si>
  <si>
    <t>50,82*5</t>
  </si>
  <si>
    <t>50,82*14</t>
  </si>
  <si>
    <t>ost*5</t>
  </si>
  <si>
    <t>446945811</t>
  </si>
  <si>
    <t>1397666797</t>
  </si>
  <si>
    <t>630+141</t>
  </si>
  <si>
    <t>630*3</t>
  </si>
  <si>
    <t xml:space="preserve">C1- demontáž </t>
  </si>
  <si>
    <t>strecha "E" montáž</t>
  </si>
  <si>
    <t>249,67*2</t>
  </si>
  <si>
    <t>(2291,94+487,20)*1,15 'Přepočítané koeficientom množstva</t>
  </si>
  <si>
    <t>764352427</t>
  </si>
  <si>
    <t>Žľaby z pozinkovaného farbeného PZf plechu, pododkvapové polkruhové</t>
  </si>
  <si>
    <t>1047796038</t>
  </si>
  <si>
    <t>-543114722</t>
  </si>
  <si>
    <t>"atikový plech RŠ 0,86 m"</t>
  </si>
  <si>
    <t>"atikový plech RŠ 0,90 m"</t>
  </si>
  <si>
    <t>"atikový plech RŠ 0,92 m"</t>
  </si>
  <si>
    <t>-1134893755</t>
  </si>
  <si>
    <t>"atikový plech RŠ 0,472 m"</t>
  </si>
  <si>
    <t>-1518363660</t>
  </si>
  <si>
    <t>"atikový plech RŠ 0,62 m"</t>
  </si>
  <si>
    <t>"atikový plech RŠ 0,74 m"</t>
  </si>
  <si>
    <t>24a</t>
  </si>
  <si>
    <t>34</t>
  </si>
  <si>
    <t xml:space="preserve">E-  montáž </t>
  </si>
  <si>
    <t>89244</t>
  </si>
  <si>
    <t>5644,2</t>
  </si>
  <si>
    <t>5,644</t>
  </si>
  <si>
    <t>strecha "E" demontáž</t>
  </si>
  <si>
    <t>Odstránenie krytu  asfaltového, hr. vrstvy do 50 mm,  -0,09800t ( liatý asfalt hr. 20 mm - BINDER)</t>
  </si>
  <si>
    <t>Poplatok za skladovanie - bitúmenové zmesi, uholný decht, dechtové výrobky (17 03 ), ostatné - binder</t>
  </si>
  <si>
    <t>979083112</t>
  </si>
  <si>
    <t>Vodorovné premiestnenie sutiny na medziskládku nad 100 m do 1000 m</t>
  </si>
  <si>
    <t>m1*2/1000</t>
  </si>
  <si>
    <t>149*2</t>
  </si>
  <si>
    <t>181,258*14</t>
  </si>
  <si>
    <t>5,644*2</t>
  </si>
  <si>
    <t>2355+508</t>
  </si>
  <si>
    <t>2355*3</t>
  </si>
  <si>
    <t>7643578pc</t>
  </si>
  <si>
    <t>Demontáž žľabov a zvodov včetne príslušenstva</t>
  </si>
  <si>
    <t>1723826284</t>
  </si>
  <si>
    <t>40a</t>
  </si>
  <si>
    <t>54414</t>
  </si>
  <si>
    <t>3048,1</t>
  </si>
  <si>
    <t>3,048</t>
  </si>
  <si>
    <t>strecha "F" demontáž</t>
  </si>
  <si>
    <t>111,193*5</t>
  </si>
  <si>
    <t>11,95*14</t>
  </si>
  <si>
    <t>3,048*5</t>
  </si>
  <si>
    <t>1465+454</t>
  </si>
  <si>
    <t>1465*3</t>
  </si>
  <si>
    <t>Provizorne opatrenie proti zatečeniu ( napríklad dr. Konštrukcia + fólia ) 60% výmery strechy</t>
  </si>
  <si>
    <t>20,55</t>
  </si>
  <si>
    <t>strecha "F" montáž</t>
  </si>
  <si>
    <t>Dlažba betónová , rozmer 400x400x40 mm</t>
  </si>
  <si>
    <t>Terč rektifikačný na inštaláciu dlažieb</t>
  </si>
  <si>
    <t>144,67*2</t>
  </si>
  <si>
    <t>(1456+454)*1,15 'Přepočítané koeficientom množstva</t>
  </si>
  <si>
    <t xml:space="preserve">F montáž </t>
  </si>
  <si>
    <t>33462</t>
  </si>
  <si>
    <t>1528</t>
  </si>
  <si>
    <t>1,528</t>
  </si>
  <si>
    <t>strecha "G" demontáž</t>
  </si>
  <si>
    <t>Odstránenie krytuv ploche do 200 m2 asfaltového, hr. vrstvy do 50 mm,  -0,09800t</t>
  </si>
  <si>
    <t xml:space="preserve">Poplatok za skladovanie - bitúmenové zmesi, uholný decht, dechtové výrobky (17 03 ), ostatné </t>
  </si>
  <si>
    <t>m1*3/1000</t>
  </si>
  <si>
    <t>69,292*3</t>
  </si>
  <si>
    <t>69,292*14</t>
  </si>
  <si>
    <t>1,528*3</t>
  </si>
  <si>
    <t>879+149</t>
  </si>
  <si>
    <t>879*3</t>
  </si>
  <si>
    <t>strecha "G" montáž</t>
  </si>
  <si>
    <t>1024,23*0,00075 'Přepočítané koeficientom množstva</t>
  </si>
  <si>
    <t>95,44*2</t>
  </si>
  <si>
    <t>(876,18+148,05)*1,15 'Přepočítané koeficientom množstva</t>
  </si>
  <si>
    <t>b1</t>
  </si>
  <si>
    <t>sut1</t>
  </si>
  <si>
    <t>128</t>
  </si>
  <si>
    <t>162900</t>
  </si>
  <si>
    <t>2079</t>
  </si>
  <si>
    <t>2,079</t>
  </si>
  <si>
    <t>strecha "I" demontáž</t>
  </si>
  <si>
    <t>Odstránenie krytuv ploche do 200 m2 asfaltového, hr. vrstvy do 50 mm,  -0,09800t- binder</t>
  </si>
  <si>
    <t>Poplatok za skladovanie - bitúmenové zmesi, uholný decht, dechtové výrobky (17 03 ), ostatné</t>
  </si>
  <si>
    <t>979011pc2</t>
  </si>
  <si>
    <t>Zvislá doprava sutiny a vybúraných hmôt z</t>
  </si>
  <si>
    <t>b1*2</t>
  </si>
  <si>
    <t>b1*14</t>
  </si>
  <si>
    <t>ost*2</t>
  </si>
  <si>
    <t>izochran</t>
  </si>
  <si>
    <t>4234+785,4</t>
  </si>
  <si>
    <t>4234*3</t>
  </si>
  <si>
    <t>33a</t>
  </si>
  <si>
    <t>713000043</t>
  </si>
  <si>
    <t xml:space="preserve">Odstránenie tepelnej izolácie striech plochých kladenej voľne  hr. nad 10 cm </t>
  </si>
  <si>
    <t>polsit hr.50 mm" 1148+311</t>
  </si>
  <si>
    <t>izolačné dosky hr. 25 mm 311m2</t>
  </si>
  <si>
    <t>heraklit hr. 25 mm" 1148</t>
  </si>
  <si>
    <t>33b</t>
  </si>
  <si>
    <t>712390982</t>
  </si>
  <si>
    <t>Údržba povlakovej krytiny striech plochých do 10° ostatné násypom z hrubého kameniva- odstranenie keramzitového násypu hr.. 80-250 mm</t>
  </si>
  <si>
    <t>33c</t>
  </si>
  <si>
    <t>Údržba povlakovej krytiny striech plochých do 10° ostatné násypom z hrubého kameniva- odstranenie suchého piesku hr. 10 mm</t>
  </si>
  <si>
    <t>33d</t>
  </si>
  <si>
    <t>Údržba povlakovej krytiny striech plochých do 10° ostatné násypom -truskopemza v spade hr. 33-83 mm</t>
  </si>
  <si>
    <t>43,5</t>
  </si>
  <si>
    <t>strecha "I" montáž</t>
  </si>
  <si>
    <t xml:space="preserve"> 'Přepočítané koeficientom množstva</t>
  </si>
  <si>
    <t>461,22*2</t>
  </si>
  <si>
    <t>(4234,02+785,40)*1,15 'Přepočítané koeficientom množstva</t>
  </si>
  <si>
    <t>22d</t>
  </si>
  <si>
    <t>713142151</t>
  </si>
  <si>
    <t>Montáž tepelnej izolácie striech plochých do 10° polystyrénom, jednovrstvová kladenými voľne</t>
  </si>
  <si>
    <t>22a</t>
  </si>
  <si>
    <t xml:space="preserve">EPS 100 S hr. 180 mm </t>
  </si>
  <si>
    <t>"atikový plech RŠ 0,52 m"</t>
  </si>
  <si>
    <t>"atikový plech RŠ 0,65 m"</t>
  </si>
  <si>
    <t xml:space="preserve">I montáž </t>
  </si>
  <si>
    <t>60426</t>
  </si>
  <si>
    <t>0,8</t>
  </si>
  <si>
    <t>s1</t>
  </si>
  <si>
    <t>treca1</t>
  </si>
  <si>
    <t>42,5</t>
  </si>
  <si>
    <t>strecha "J" demontáž</t>
  </si>
  <si>
    <t>s1*3</t>
  </si>
  <si>
    <t>s1*14</t>
  </si>
  <si>
    <t>ost*3</t>
  </si>
  <si>
    <t>1557,45+318,15</t>
  </si>
  <si>
    <t>1557,45*3</t>
  </si>
  <si>
    <t>712500pc2</t>
  </si>
  <si>
    <t>demontáž vrchlíkov na svetlíky</t>
  </si>
  <si>
    <t>25a</t>
  </si>
  <si>
    <t xml:space="preserve">polsit hr.50 mm" </t>
  </si>
  <si>
    <t>-183373568</t>
  </si>
  <si>
    <t>strecha "J" montáž</t>
  </si>
  <si>
    <t>1875,69*0,00075 'Přepočítané koeficientom množstva</t>
  </si>
  <si>
    <t>169,67*2</t>
  </si>
  <si>
    <t>13a</t>
  </si>
  <si>
    <t>13b</t>
  </si>
  <si>
    <t>PC-3</t>
  </si>
  <si>
    <t>EPS 100 S hr. 60 mm   311*1,1</t>
  </si>
  <si>
    <t>"atikový plech RŠ 0,54 m"</t>
  </si>
  <si>
    <t>"atikový plech RŠ 0,62m"</t>
  </si>
  <si>
    <t>PC1</t>
  </si>
  <si>
    <t>Nové vrchlíky na svetlíky</t>
  </si>
  <si>
    <t>-567439863</t>
  </si>
  <si>
    <t>PC3</t>
  </si>
  <si>
    <t>Nové výmeny pre svetlíky</t>
  </si>
  <si>
    <t>1316522115</t>
  </si>
  <si>
    <t xml:space="preserve">J montáž </t>
  </si>
  <si>
    <t>24480</t>
  </si>
  <si>
    <t>0,25</t>
  </si>
  <si>
    <t>17,2</t>
  </si>
  <si>
    <t>strecha "K" demontáž</t>
  </si>
  <si>
    <t>m1*1/1000</t>
  </si>
  <si>
    <t>604+182</t>
  </si>
  <si>
    <t>604*3</t>
  </si>
  <si>
    <t>-327930410</t>
  </si>
  <si>
    <t xml:space="preserve">K- demontáž </t>
  </si>
  <si>
    <t>strecha "K montáž</t>
  </si>
  <si>
    <t>787,56*0,00075 'Přepočítané koeficientom množstva</t>
  </si>
  <si>
    <t>65,89*2</t>
  </si>
  <si>
    <t>(604,86+182,70)*1,15 'Přepočítané koeficientom množstva</t>
  </si>
  <si>
    <t>89874</t>
  </si>
  <si>
    <t>44</t>
  </si>
  <si>
    <t>strecha</t>
  </si>
  <si>
    <t>70,8</t>
  </si>
  <si>
    <t>strecha "T" demontáž</t>
  </si>
  <si>
    <t>s1*5</t>
  </si>
  <si>
    <t>345,6</t>
  </si>
  <si>
    <t>strecha "T" montáž</t>
  </si>
  <si>
    <t>163*0,2</t>
  </si>
  <si>
    <t>2804,943*0,00075 'Přepočítané koeficientom množstva</t>
  </si>
  <si>
    <t>274,67*2</t>
  </si>
  <si>
    <t>"atikový plech RŠ 0,37 m"</t>
  </si>
  <si>
    <t xml:space="preserve">T montáž </t>
  </si>
  <si>
    <t>Nemocnica Sv. Cyrila a Metoda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</si>
</sst>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"/>
    <numFmt numFmtId="167" formatCode="#,##0.00000"/>
  </numFmts>
  <fonts count="29" x14ac:knownFonts="1">
    <font>
      <sz val="11"/>
      <color theme="1"/>
      <name val="Calibri"/>
      <family val="2"/>
      <charset val="238"/>
      <scheme val="minor"/>
    </font>
    <font>
      <sz val="8"/>
      <color rgb="FFFFFFFF"/>
      <name val="Arial CE"/>
    </font>
    <font>
      <b/>
      <sz val="14"/>
      <name val="Arial CE"/>
    </font>
    <font>
      <sz val="8"/>
      <color rgb="FF969696"/>
      <name val="Arial CE"/>
    </font>
    <font>
      <b/>
      <sz val="11"/>
      <name val="Arial CE"/>
    </font>
    <font>
      <b/>
      <sz val="10"/>
      <name val="Arial CE"/>
    </font>
    <font>
      <b/>
      <sz val="8"/>
      <color rgb="FF969696"/>
      <name val="Arial CE"/>
    </font>
    <font>
      <b/>
      <sz val="12"/>
      <name val="Arial CE"/>
    </font>
    <font>
      <b/>
      <sz val="8"/>
      <name val="Arial CE"/>
    </font>
    <font>
      <sz val="9"/>
      <name val="Arial CE"/>
    </font>
    <font>
      <b/>
      <sz val="12"/>
      <color rgb="FF960000"/>
      <name val="Arial CE"/>
    </font>
    <font>
      <sz val="12"/>
      <name val="Arial CE"/>
    </font>
    <font>
      <u/>
      <sz val="11"/>
      <color theme="10"/>
      <name val="Calibri"/>
      <family val="2"/>
      <charset val="238"/>
      <scheme val="minor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9"/>
      <name val="Arial CE"/>
      <family val="2"/>
      <charset val="238"/>
    </font>
    <font>
      <sz val="8"/>
      <name val="Arial CE"/>
      <family val="2"/>
    </font>
    <font>
      <sz val="18"/>
      <color rgb="FF0000FF"/>
      <name val="Wingdings 2"/>
      <family val="1"/>
      <charset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</fonts>
  <fills count="4">
    <fill>
      <patternFill patternType="none"/>
    </fill>
    <fill>
      <patternFill patternType="gray125"/>
    </fill>
    <fill>
      <patternFill patternType="solid">
        <fgColor rgb="FFBEBEBE"/>
        <bgColor rgb="FFFFFFFF"/>
      </patternFill>
    </fill>
    <fill>
      <patternFill patternType="solid">
        <fgColor rgb="FFD2D2D2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5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5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5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left" vertical="center"/>
    </xf>
    <xf numFmtId="0" fontId="17" fillId="0" borderId="2" xfId="0" applyFont="1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4" xfId="0" applyFont="1" applyBorder="1"/>
    <xf numFmtId="0" fontId="17" fillId="0" borderId="4" xfId="0" applyFont="1" applyFill="1" applyBorder="1"/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9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4" fontId="2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6" fontId="22" fillId="0" borderId="0" xfId="0" applyNumberFormat="1" applyFont="1" applyFill="1" applyAlignment="1"/>
    <xf numFmtId="0" fontId="0" fillId="0" borderId="19" xfId="0" applyFont="1" applyFill="1" applyBorder="1" applyAlignment="1">
      <alignment vertical="center"/>
    </xf>
    <xf numFmtId="167" fontId="0" fillId="0" borderId="13" xfId="0" applyNumberFormat="1" applyFont="1" applyFill="1" applyBorder="1" applyAlignment="1"/>
    <xf numFmtId="167" fontId="0" fillId="0" borderId="20" xfId="0" applyNumberFormat="1" applyFont="1" applyFill="1" applyBorder="1" applyAlignment="1"/>
    <xf numFmtId="166" fontId="26" fillId="0" borderId="0" xfId="0" applyNumberFormat="1" applyFont="1" applyFill="1" applyAlignment="1">
      <alignment vertical="center"/>
    </xf>
    <xf numFmtId="0" fontId="0" fillId="0" borderId="3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166" fontId="24" fillId="0" borderId="0" xfId="0" applyNumberFormat="1" applyFont="1" applyFill="1" applyAlignment="1"/>
    <xf numFmtId="0" fontId="0" fillId="0" borderId="21" xfId="0" applyFont="1" applyFill="1" applyBorder="1" applyAlignment="1"/>
    <xf numFmtId="0" fontId="0" fillId="0" borderId="0" xfId="0" applyFont="1" applyFill="1" applyBorder="1" applyAlignment="1"/>
    <xf numFmtId="167" fontId="0" fillId="0" borderId="0" xfId="0" applyNumberFormat="1" applyFont="1" applyFill="1" applyBorder="1" applyAlignment="1"/>
    <xf numFmtId="167" fontId="0" fillId="0" borderId="22" xfId="0" applyNumberFormat="1" applyFont="1" applyFill="1" applyBorder="1" applyAlignment="1"/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left"/>
    </xf>
    <xf numFmtId="166" fontId="25" fillId="0" borderId="0" xfId="0" applyNumberFormat="1" applyFont="1" applyFill="1" applyAlignment="1"/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16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22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2" fontId="25" fillId="0" borderId="24" xfId="0" applyNumberFormat="1" applyFont="1" applyFill="1" applyBorder="1" applyAlignment="1">
      <alignment vertical="center" wrapText="1"/>
    </xf>
    <xf numFmtId="0" fontId="17" fillId="0" borderId="0" xfId="0" applyFont="1" applyFill="1" applyBorder="1" applyProtection="1"/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3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/>
    <xf numFmtId="0" fontId="17" fillId="0" borderId="19" xfId="0" applyFont="1" applyFill="1" applyBorder="1" applyAlignment="1">
      <alignment vertical="center"/>
    </xf>
    <xf numFmtId="167" fontId="17" fillId="0" borderId="13" xfId="0" applyNumberFormat="1" applyFont="1" applyFill="1" applyBorder="1" applyAlignment="1"/>
    <xf numFmtId="167" fontId="17" fillId="0" borderId="20" xfId="0" applyNumberFormat="1" applyFont="1" applyFill="1" applyBorder="1" applyAlignment="1"/>
    <xf numFmtId="166" fontId="26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6" fontId="24" fillId="0" borderId="0" xfId="0" applyNumberFormat="1" applyFont="1" applyFill="1" applyBorder="1" applyAlignment="1"/>
    <xf numFmtId="0" fontId="17" fillId="0" borderId="21" xfId="0" applyFont="1" applyFill="1" applyBorder="1" applyAlignment="1"/>
    <xf numFmtId="167" fontId="17" fillId="0" borderId="0" xfId="0" applyNumberFormat="1" applyFont="1" applyFill="1" applyBorder="1" applyAlignment="1"/>
    <xf numFmtId="167" fontId="17" fillId="0" borderId="22" xfId="0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/>
    </xf>
    <xf numFmtId="166" fontId="25" fillId="0" borderId="0" xfId="0" applyNumberFormat="1" applyFont="1" applyFill="1" applyBorder="1" applyAlignment="1"/>
    <xf numFmtId="0" fontId="17" fillId="0" borderId="3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49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166" fontId="17" fillId="0" borderId="23" xfId="0" applyNumberFormat="1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vertical="center"/>
    </xf>
    <xf numFmtId="167" fontId="17" fillId="0" borderId="22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166" fontId="17" fillId="0" borderId="3" xfId="0" applyNumberFormat="1" applyFont="1" applyFill="1" applyBorder="1" applyAlignment="1"/>
    <xf numFmtId="0" fontId="17" fillId="0" borderId="2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167" fontId="17" fillId="0" borderId="15" xfId="0" applyNumberFormat="1" applyFont="1" applyFill="1" applyBorder="1" applyAlignment="1">
      <alignment vertical="center"/>
    </xf>
    <xf numFmtId="167" fontId="17" fillId="0" borderId="26" xfId="0" applyNumberFormat="1" applyFont="1" applyFill="1" applyBorder="1" applyAlignment="1">
      <alignment vertical="center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49" fontId="2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0" fontId="28" fillId="0" borderId="23" xfId="0" applyFont="1" applyFill="1" applyBorder="1" applyAlignment="1" applyProtection="1">
      <alignment horizontal="center" vertical="center" wrapText="1"/>
      <protection locked="0"/>
    </xf>
    <xf numFmtId="166" fontId="28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Fill="1" applyBorder="1" applyAlignment="1"/>
    <xf numFmtId="0" fontId="17" fillId="0" borderId="0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Fill="1" applyBorder="1" applyAlignment="1" applyProtection="1">
      <alignment vertical="center"/>
      <protection locked="0"/>
    </xf>
    <xf numFmtId="0" fontId="28" fillId="0" borderId="3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2" fontId="17" fillId="0" borderId="24" xfId="0" applyNumberFormat="1" applyFont="1" applyFill="1" applyBorder="1" applyAlignment="1">
      <alignment vertical="center" wrapText="1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2" fontId="27" fillId="0" borderId="24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/>
    <xf numFmtId="0" fontId="0" fillId="0" borderId="15" xfId="0" applyFont="1" applyFill="1" applyBorder="1" applyAlignment="1"/>
    <xf numFmtId="167" fontId="0" fillId="0" borderId="15" xfId="0" applyNumberFormat="1" applyFont="1" applyFill="1" applyBorder="1" applyAlignment="1"/>
    <xf numFmtId="167" fontId="0" fillId="0" borderId="26" xfId="0" applyNumberFormat="1" applyFont="1" applyFill="1" applyBorder="1" applyAlignment="1"/>
    <xf numFmtId="0" fontId="17" fillId="0" borderId="25" xfId="0" applyFont="1" applyFill="1" applyBorder="1" applyAlignment="1"/>
    <xf numFmtId="0" fontId="17" fillId="0" borderId="15" xfId="0" applyFont="1" applyFill="1" applyBorder="1" applyAlignment="1"/>
    <xf numFmtId="167" fontId="17" fillId="0" borderId="15" xfId="0" applyNumberFormat="1" applyFont="1" applyFill="1" applyBorder="1" applyAlignment="1"/>
    <xf numFmtId="167" fontId="17" fillId="0" borderId="26" xfId="0" applyNumberFormat="1" applyFont="1" applyFill="1" applyBorder="1" applyAlignment="1"/>
    <xf numFmtId="0" fontId="17" fillId="0" borderId="27" xfId="0" applyFont="1" applyBorder="1"/>
    <xf numFmtId="0" fontId="17" fillId="0" borderId="28" xfId="0" applyFont="1" applyBorder="1"/>
    <xf numFmtId="0" fontId="17" fillId="0" borderId="28" xfId="0" applyFont="1" applyFill="1" applyBorder="1"/>
    <xf numFmtId="0" fontId="17" fillId="0" borderId="29" xfId="0" applyFont="1" applyFill="1" applyBorder="1"/>
    <xf numFmtId="0" fontId="17" fillId="0" borderId="30" xfId="0" applyFont="1" applyBorder="1"/>
    <xf numFmtId="0" fontId="17" fillId="0" borderId="31" xfId="0" applyFont="1" applyFill="1" applyBorder="1"/>
    <xf numFmtId="0" fontId="17" fillId="0" borderId="32" xfId="0" applyFont="1" applyFill="1" applyBorder="1"/>
    <xf numFmtId="0" fontId="17" fillId="0" borderId="30" xfId="0" applyFont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165" fontId="17" fillId="0" borderId="31" xfId="0" applyNumberFormat="1" applyFont="1" applyFill="1" applyBorder="1" applyAlignment="1">
      <alignment horizontal="left" vertical="center"/>
    </xf>
    <xf numFmtId="0" fontId="17" fillId="0" borderId="31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/>
    <xf numFmtId="0" fontId="17" fillId="0" borderId="31" xfId="0" applyFont="1" applyBorder="1"/>
    <xf numFmtId="0" fontId="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3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2" fontId="25" fillId="0" borderId="24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tanislav\Desktop\rozpoc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A- demontáž - skúška 1"/>
      <sheetName val="A montáž - skúška 1.1"/>
      <sheetName val="B- demontáž - skúška 1"/>
      <sheetName val="B -montáž - skúška 1.1"/>
      <sheetName val="C atrium- demontáž - skúš..."/>
      <sheetName val="C montáž - skúška 1.1"/>
      <sheetName val="C1- demontáž - skúška 1"/>
      <sheetName val="E-  montáž - skúška 1.1"/>
      <sheetName val="E- demontáž - skúška 1"/>
      <sheetName val="F- demontáž - skúška 1"/>
      <sheetName val="F montáž - skúška 1.1"/>
      <sheetName val="G- demontáž - skúška 1"/>
      <sheetName val="G montáž - skúška 1.1"/>
      <sheetName val="I- demontáž - skúška 1"/>
      <sheetName val="I montáž - skúška 1.1"/>
      <sheetName val="J- demontáž - skúška 1"/>
      <sheetName val="J montáž - skúška 1.1"/>
      <sheetName val="K- demontáž - skúška 1"/>
      <sheetName val="K montáž - skúška 1.1"/>
      <sheetName val="T- demontáž - skúška 1"/>
      <sheetName val="T montáž - skúška 1.1"/>
    </sheetNames>
    <sheetDataSet>
      <sheetData sheetId="0">
        <row r="11">
          <cell r="E11" t="str">
            <v xml:space="preserve"> </v>
          </cell>
        </row>
        <row r="14">
          <cell r="E14" t="str">
            <v xml:space="preserve"> </v>
          </cell>
        </row>
        <row r="17">
          <cell r="E17" t="str">
            <v xml:space="preserve"> </v>
          </cell>
        </row>
        <row r="20">
          <cell r="E20" t="str">
            <v xml:space="preserve"> </v>
          </cell>
        </row>
      </sheetData>
      <sheetData sheetId="1"/>
      <sheetData sheetId="2">
        <row r="155">
          <cell r="H155">
            <v>4.4000000000000004</v>
          </cell>
        </row>
        <row r="156">
          <cell r="H156">
            <v>1</v>
          </cell>
        </row>
        <row r="158">
          <cell r="H158">
            <v>12.1</v>
          </cell>
        </row>
      </sheetData>
      <sheetData sheetId="3"/>
      <sheetData sheetId="4">
        <row r="150">
          <cell r="H150">
            <v>4.4000000000000004</v>
          </cell>
        </row>
        <row r="151">
          <cell r="H151">
            <v>1</v>
          </cell>
        </row>
        <row r="153">
          <cell r="H153">
            <v>12.1</v>
          </cell>
        </row>
      </sheetData>
      <sheetData sheetId="5"/>
      <sheetData sheetId="6"/>
      <sheetData sheetId="7"/>
      <sheetData sheetId="8">
        <row r="148">
          <cell r="H148">
            <v>4.4000000000000004</v>
          </cell>
        </row>
        <row r="149">
          <cell r="H149">
            <v>1</v>
          </cell>
        </row>
        <row r="151">
          <cell r="H151">
            <v>12.1</v>
          </cell>
        </row>
      </sheetData>
      <sheetData sheetId="9"/>
      <sheetData sheetId="10"/>
      <sheetData sheetId="11">
        <row r="146">
          <cell r="H146">
            <v>4.4000000000000004</v>
          </cell>
        </row>
        <row r="147">
          <cell r="H147">
            <v>1</v>
          </cell>
        </row>
        <row r="149">
          <cell r="H149">
            <v>12.1</v>
          </cell>
        </row>
      </sheetData>
      <sheetData sheetId="12"/>
      <sheetData sheetId="13">
        <row r="130">
          <cell r="H130">
            <v>4.4000000000000004</v>
          </cell>
        </row>
        <row r="131">
          <cell r="H131">
            <v>1</v>
          </cell>
        </row>
        <row r="133">
          <cell r="H133">
            <v>12.1</v>
          </cell>
        </row>
      </sheetData>
      <sheetData sheetId="14"/>
      <sheetData sheetId="15">
        <row r="151">
          <cell r="H151">
            <v>4.4000000000000004</v>
          </cell>
        </row>
        <row r="152">
          <cell r="H152">
            <v>1</v>
          </cell>
        </row>
        <row r="154">
          <cell r="H154">
            <v>12.1</v>
          </cell>
        </row>
      </sheetData>
      <sheetData sheetId="16"/>
      <sheetData sheetId="17">
        <row r="144">
          <cell r="H144">
            <v>4.4000000000000004</v>
          </cell>
        </row>
        <row r="145">
          <cell r="H145">
            <v>1</v>
          </cell>
        </row>
        <row r="147">
          <cell r="H147">
            <v>12.1</v>
          </cell>
        </row>
      </sheetData>
      <sheetData sheetId="18"/>
      <sheetData sheetId="19">
        <row r="130">
          <cell r="H130">
            <v>4.4000000000000004</v>
          </cell>
        </row>
        <row r="131">
          <cell r="H131">
            <v>1</v>
          </cell>
        </row>
        <row r="133">
          <cell r="H133">
            <v>12.1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tabSelected="1" zoomScale="48" zoomScaleNormal="48" workbookViewId="0">
      <selection activeCell="S11" sqref="S11"/>
    </sheetView>
  </sheetViews>
  <sheetFormatPr defaultRowHeight="11.25" x14ac:dyDescent="0.2"/>
  <cols>
    <col min="1" max="1" width="7.140625" style="12" customWidth="1"/>
    <col min="2" max="2" width="1.42578125" style="12" customWidth="1"/>
    <col min="3" max="3" width="3.5703125" style="12" customWidth="1"/>
    <col min="4" max="7" width="2.28515625" style="12" customWidth="1"/>
    <col min="8" max="8" width="4.7109375" style="12" customWidth="1"/>
    <col min="9" max="33" width="2.28515625" style="12" customWidth="1"/>
    <col min="34" max="34" width="2.85546875" style="12" customWidth="1"/>
    <col min="35" max="35" width="27.140625" style="13" customWidth="1"/>
    <col min="36" max="37" width="2.140625" style="13" customWidth="1"/>
    <col min="38" max="38" width="7.140625" style="13" customWidth="1"/>
    <col min="39" max="39" width="2.85546875" style="13" customWidth="1"/>
    <col min="40" max="16384" width="9.140625" style="12"/>
  </cols>
  <sheetData>
    <row r="1" spans="1:42" x14ac:dyDescent="0.2">
      <c r="A1" s="11" t="s">
        <v>0</v>
      </c>
      <c r="AN1" s="11" t="s">
        <v>1</v>
      </c>
      <c r="AO1" s="11" t="s">
        <v>1</v>
      </c>
      <c r="AP1" s="11" t="s">
        <v>2</v>
      </c>
    </row>
    <row r="2" spans="1:42" x14ac:dyDescent="0.2">
      <c r="AN2" s="14" t="s">
        <v>3</v>
      </c>
    </row>
    <row r="3" spans="1:42" x14ac:dyDescent="0.2"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  <c r="AJ3" s="215"/>
      <c r="AK3" s="215"/>
      <c r="AL3" s="215"/>
      <c r="AM3" s="216"/>
      <c r="AN3" s="14" t="s">
        <v>3</v>
      </c>
    </row>
    <row r="4" spans="1:42" ht="18" x14ac:dyDescent="0.2">
      <c r="B4" s="217"/>
      <c r="D4" s="16" t="s">
        <v>4</v>
      </c>
      <c r="AM4" s="218"/>
    </row>
    <row r="5" spans="1:42" x14ac:dyDescent="0.2">
      <c r="B5" s="217"/>
      <c r="D5" s="17" t="s">
        <v>5</v>
      </c>
      <c r="K5" s="237" t="s">
        <v>6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9"/>
    </row>
    <row r="6" spans="1:42" ht="15" customHeight="1" x14ac:dyDescent="0.2">
      <c r="B6" s="217"/>
      <c r="D6" s="18" t="s">
        <v>7</v>
      </c>
      <c r="K6" s="240" t="s">
        <v>671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9"/>
    </row>
    <row r="7" spans="1:42" x14ac:dyDescent="0.2">
      <c r="B7" s="217"/>
      <c r="D7" s="19" t="s">
        <v>8</v>
      </c>
      <c r="K7" s="14" t="s">
        <v>9</v>
      </c>
      <c r="AK7" s="20" t="s">
        <v>10</v>
      </c>
      <c r="AM7" s="218"/>
    </row>
    <row r="8" spans="1:42" x14ac:dyDescent="0.2">
      <c r="B8" s="217"/>
      <c r="D8" s="19" t="s">
        <v>11</v>
      </c>
      <c r="K8" s="14" t="s">
        <v>12</v>
      </c>
      <c r="AK8" s="20" t="s">
        <v>13</v>
      </c>
      <c r="AM8" s="218"/>
    </row>
    <row r="9" spans="1:42" x14ac:dyDescent="0.2">
      <c r="B9" s="217"/>
      <c r="AM9" s="218"/>
    </row>
    <row r="10" spans="1:42" x14ac:dyDescent="0.2">
      <c r="B10" s="217"/>
      <c r="D10" s="19" t="s">
        <v>14</v>
      </c>
      <c r="AK10" s="20" t="s">
        <v>15</v>
      </c>
      <c r="AM10" s="218"/>
    </row>
    <row r="11" spans="1:42" x14ac:dyDescent="0.2">
      <c r="B11" s="217"/>
      <c r="E11" s="14" t="s">
        <v>12</v>
      </c>
      <c r="AK11" s="20" t="s">
        <v>16</v>
      </c>
      <c r="AM11" s="218"/>
    </row>
    <row r="12" spans="1:42" x14ac:dyDescent="0.2">
      <c r="B12" s="217"/>
      <c r="AM12" s="218"/>
    </row>
    <row r="13" spans="1:42" x14ac:dyDescent="0.2">
      <c r="B13" s="217"/>
      <c r="D13" s="19" t="s">
        <v>17</v>
      </c>
      <c r="AK13" s="20" t="s">
        <v>15</v>
      </c>
      <c r="AM13" s="218"/>
    </row>
    <row r="14" spans="1:42" x14ac:dyDescent="0.2">
      <c r="B14" s="217"/>
      <c r="E14" s="14" t="s">
        <v>12</v>
      </c>
      <c r="AK14" s="20" t="s">
        <v>16</v>
      </c>
      <c r="AM14" s="218"/>
    </row>
    <row r="15" spans="1:42" x14ac:dyDescent="0.2">
      <c r="B15" s="217"/>
      <c r="AM15" s="218"/>
    </row>
    <row r="16" spans="1:42" x14ac:dyDescent="0.2">
      <c r="B16" s="217"/>
      <c r="D16" s="19" t="s">
        <v>18</v>
      </c>
      <c r="AK16" s="20" t="s">
        <v>15</v>
      </c>
      <c r="AM16" s="218"/>
    </row>
    <row r="17" spans="2:39" x14ac:dyDescent="0.2">
      <c r="B17" s="217"/>
      <c r="E17" s="14" t="s">
        <v>12</v>
      </c>
      <c r="AK17" s="20" t="s">
        <v>16</v>
      </c>
      <c r="AM17" s="218"/>
    </row>
    <row r="18" spans="2:39" x14ac:dyDescent="0.2">
      <c r="B18" s="217"/>
      <c r="AM18" s="218"/>
    </row>
    <row r="19" spans="2:39" x14ac:dyDescent="0.2">
      <c r="B19" s="217"/>
      <c r="D19" s="19" t="s">
        <v>19</v>
      </c>
      <c r="AK19" s="20" t="s">
        <v>15</v>
      </c>
      <c r="AM19" s="218"/>
    </row>
    <row r="20" spans="2:39" x14ac:dyDescent="0.2">
      <c r="B20" s="217"/>
      <c r="E20" s="14" t="s">
        <v>12</v>
      </c>
      <c r="AK20" s="20" t="s">
        <v>16</v>
      </c>
      <c r="AM20" s="218"/>
    </row>
    <row r="21" spans="2:39" x14ac:dyDescent="0.2">
      <c r="B21" s="217"/>
      <c r="AM21" s="218"/>
    </row>
    <row r="22" spans="2:39" x14ac:dyDescent="0.2">
      <c r="B22" s="217"/>
      <c r="D22" s="19" t="s">
        <v>20</v>
      </c>
      <c r="AM22" s="218"/>
    </row>
    <row r="23" spans="2:39" x14ac:dyDescent="0.2">
      <c r="B23" s="217"/>
      <c r="E23" s="241" t="s">
        <v>9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2"/>
    </row>
    <row r="24" spans="2:39" x14ac:dyDescent="0.2">
      <c r="B24" s="217"/>
      <c r="AM24" s="218"/>
    </row>
    <row r="25" spans="2:39" x14ac:dyDescent="0.2">
      <c r="B25" s="21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22"/>
      <c r="AK25" s="22"/>
      <c r="AL25" s="22"/>
      <c r="AM25" s="219"/>
    </row>
    <row r="26" spans="2:39" s="23" customFormat="1" ht="12.75" x14ac:dyDescent="0.25">
      <c r="B26" s="220"/>
      <c r="D26" s="1" t="s">
        <v>21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43">
        <f>ROUND(AG54,2)</f>
        <v>0</v>
      </c>
      <c r="AL26" s="244"/>
      <c r="AM26" s="245"/>
    </row>
    <row r="27" spans="2:39" s="23" customFormat="1" x14ac:dyDescent="0.25">
      <c r="B27" s="220"/>
      <c r="AI27" s="26"/>
      <c r="AJ27" s="26"/>
      <c r="AK27" s="26"/>
      <c r="AL27" s="26"/>
      <c r="AM27" s="221"/>
    </row>
    <row r="28" spans="2:39" s="23" customFormat="1" x14ac:dyDescent="0.25">
      <c r="B28" s="220"/>
      <c r="L28" s="246" t="s">
        <v>22</v>
      </c>
      <c r="M28" s="246"/>
      <c r="N28" s="246"/>
      <c r="O28" s="246"/>
      <c r="P28" s="246"/>
      <c r="W28" s="246" t="s">
        <v>23</v>
      </c>
      <c r="X28" s="246"/>
      <c r="Y28" s="246"/>
      <c r="Z28" s="246"/>
      <c r="AA28" s="246"/>
      <c r="AB28" s="246"/>
      <c r="AC28" s="246"/>
      <c r="AD28" s="246"/>
      <c r="AE28" s="246"/>
      <c r="AI28" s="26"/>
      <c r="AJ28" s="26"/>
      <c r="AK28" s="247" t="s">
        <v>24</v>
      </c>
      <c r="AL28" s="247"/>
      <c r="AM28" s="248"/>
    </row>
    <row r="29" spans="2:39" s="27" customFormat="1" x14ac:dyDescent="0.25">
      <c r="B29" s="222"/>
      <c r="D29" s="19" t="s">
        <v>25</v>
      </c>
      <c r="F29" s="19" t="s">
        <v>26</v>
      </c>
      <c r="L29" s="249">
        <v>0.2</v>
      </c>
      <c r="M29" s="250"/>
      <c r="N29" s="250"/>
      <c r="O29" s="250"/>
      <c r="P29" s="250"/>
      <c r="W29" s="251"/>
      <c r="X29" s="250"/>
      <c r="Y29" s="250"/>
      <c r="Z29" s="250"/>
      <c r="AA29" s="250"/>
      <c r="AB29" s="250"/>
      <c r="AC29" s="250"/>
      <c r="AD29" s="250"/>
      <c r="AE29" s="250"/>
      <c r="AI29" s="28"/>
      <c r="AJ29" s="28"/>
      <c r="AK29" s="252"/>
      <c r="AL29" s="253"/>
      <c r="AM29" s="254"/>
    </row>
    <row r="30" spans="2:39" s="27" customFormat="1" x14ac:dyDescent="0.25">
      <c r="B30" s="222"/>
      <c r="F30" s="19" t="s">
        <v>27</v>
      </c>
      <c r="L30" s="249">
        <v>0.2</v>
      </c>
      <c r="M30" s="250"/>
      <c r="N30" s="250"/>
      <c r="O30" s="250"/>
      <c r="P30" s="250"/>
      <c r="W30" s="251"/>
      <c r="X30" s="250"/>
      <c r="Y30" s="250"/>
      <c r="Z30" s="250"/>
      <c r="AA30" s="250"/>
      <c r="AB30" s="250"/>
      <c r="AC30" s="250"/>
      <c r="AD30" s="250"/>
      <c r="AE30" s="250"/>
      <c r="AI30" s="28"/>
      <c r="AJ30" s="28"/>
      <c r="AK30" s="252"/>
      <c r="AL30" s="253"/>
      <c r="AM30" s="254"/>
    </row>
    <row r="31" spans="2:39" s="27" customFormat="1" x14ac:dyDescent="0.25">
      <c r="B31" s="222"/>
      <c r="F31" s="19" t="s">
        <v>28</v>
      </c>
      <c r="L31" s="249">
        <v>0.2</v>
      </c>
      <c r="M31" s="250"/>
      <c r="N31" s="250"/>
      <c r="O31" s="250"/>
      <c r="P31" s="250"/>
      <c r="W31" s="251"/>
      <c r="X31" s="250"/>
      <c r="Y31" s="250"/>
      <c r="Z31" s="250"/>
      <c r="AA31" s="250"/>
      <c r="AB31" s="250"/>
      <c r="AC31" s="250"/>
      <c r="AD31" s="250"/>
      <c r="AE31" s="250"/>
      <c r="AI31" s="28"/>
      <c r="AJ31" s="28"/>
      <c r="AK31" s="252"/>
      <c r="AL31" s="253"/>
      <c r="AM31" s="254"/>
    </row>
    <row r="32" spans="2:39" s="27" customFormat="1" x14ac:dyDescent="0.25">
      <c r="B32" s="222"/>
      <c r="F32" s="19" t="s">
        <v>29</v>
      </c>
      <c r="L32" s="249">
        <v>0.2</v>
      </c>
      <c r="M32" s="250"/>
      <c r="N32" s="250"/>
      <c r="O32" s="250"/>
      <c r="P32" s="250"/>
      <c r="W32" s="251"/>
      <c r="X32" s="250"/>
      <c r="Y32" s="250"/>
      <c r="Z32" s="250"/>
      <c r="AA32" s="250"/>
      <c r="AB32" s="250"/>
      <c r="AC32" s="250"/>
      <c r="AD32" s="250"/>
      <c r="AE32" s="250"/>
      <c r="AI32" s="28"/>
      <c r="AJ32" s="28"/>
      <c r="AK32" s="252"/>
      <c r="AL32" s="253"/>
      <c r="AM32" s="254"/>
    </row>
    <row r="33" spans="2:39" s="27" customFormat="1" x14ac:dyDescent="0.25">
      <c r="B33" s="222"/>
      <c r="F33" s="19" t="s">
        <v>30</v>
      </c>
      <c r="L33" s="249">
        <v>0</v>
      </c>
      <c r="M33" s="250"/>
      <c r="N33" s="250"/>
      <c r="O33" s="250"/>
      <c r="P33" s="250"/>
      <c r="W33" s="251"/>
      <c r="X33" s="250"/>
      <c r="Y33" s="250"/>
      <c r="Z33" s="250"/>
      <c r="AA33" s="250"/>
      <c r="AB33" s="250"/>
      <c r="AC33" s="250"/>
      <c r="AD33" s="250"/>
      <c r="AE33" s="250"/>
      <c r="AI33" s="28"/>
      <c r="AJ33" s="28"/>
      <c r="AK33" s="252"/>
      <c r="AL33" s="253"/>
      <c r="AM33" s="254"/>
    </row>
    <row r="34" spans="2:39" s="23" customFormat="1" x14ac:dyDescent="0.25">
      <c r="B34" s="220"/>
      <c r="AI34" s="26"/>
      <c r="AJ34" s="26"/>
      <c r="AK34" s="26"/>
      <c r="AL34" s="26"/>
      <c r="AM34" s="221"/>
    </row>
    <row r="35" spans="2:39" s="23" customFormat="1" ht="15.75" x14ac:dyDescent="0.25">
      <c r="B35" s="220"/>
      <c r="C35" s="29"/>
      <c r="D35" s="30" t="s">
        <v>31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32</v>
      </c>
      <c r="U35" s="31"/>
      <c r="V35" s="31"/>
      <c r="W35" s="31"/>
      <c r="X35" s="265" t="s">
        <v>33</v>
      </c>
      <c r="Y35" s="266"/>
      <c r="Z35" s="266"/>
      <c r="AA35" s="266"/>
      <c r="AB35" s="266"/>
      <c r="AC35" s="31"/>
      <c r="AD35" s="31"/>
      <c r="AE35" s="31"/>
      <c r="AF35" s="31"/>
      <c r="AG35" s="31"/>
      <c r="AH35" s="31"/>
      <c r="AI35" s="33"/>
      <c r="AJ35" s="33"/>
      <c r="AK35" s="267"/>
      <c r="AL35" s="268"/>
      <c r="AM35" s="269"/>
    </row>
    <row r="36" spans="2:39" s="23" customFormat="1" x14ac:dyDescent="0.25">
      <c r="B36" s="220"/>
      <c r="AI36" s="26"/>
      <c r="AJ36" s="26"/>
      <c r="AK36" s="26"/>
      <c r="AL36" s="26"/>
      <c r="AM36" s="221"/>
    </row>
    <row r="37" spans="2:39" s="23" customFormat="1" x14ac:dyDescent="0.25">
      <c r="B37" s="223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5"/>
      <c r="AJ37" s="225"/>
      <c r="AK37" s="225"/>
      <c r="AL37" s="225"/>
      <c r="AM37" s="226"/>
    </row>
    <row r="41" spans="2:39" s="23" customFormat="1" x14ac:dyDescent="0.25">
      <c r="B41" s="228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30"/>
      <c r="AJ41" s="230"/>
      <c r="AK41" s="230"/>
      <c r="AL41" s="230"/>
      <c r="AM41" s="231"/>
    </row>
    <row r="42" spans="2:39" s="23" customFormat="1" ht="18" x14ac:dyDescent="0.25">
      <c r="B42" s="220"/>
      <c r="C42" s="16" t="s">
        <v>34</v>
      </c>
      <c r="AI42" s="26"/>
      <c r="AJ42" s="26"/>
      <c r="AK42" s="26"/>
      <c r="AL42" s="26"/>
      <c r="AM42" s="221"/>
    </row>
    <row r="43" spans="2:39" s="23" customFormat="1" x14ac:dyDescent="0.25">
      <c r="B43" s="220"/>
      <c r="AI43" s="26"/>
      <c r="AJ43" s="26"/>
      <c r="AK43" s="26"/>
      <c r="AL43" s="26"/>
      <c r="AM43" s="221"/>
    </row>
    <row r="44" spans="2:39" s="23" customFormat="1" x14ac:dyDescent="0.25">
      <c r="B44" s="220"/>
      <c r="C44" s="19" t="s">
        <v>5</v>
      </c>
      <c r="L44" s="23" t="str">
        <f>K5</f>
        <v>2019-11-2</v>
      </c>
      <c r="AI44" s="26"/>
      <c r="AJ44" s="26"/>
      <c r="AK44" s="26"/>
      <c r="AL44" s="26"/>
      <c r="AM44" s="221"/>
    </row>
    <row r="45" spans="2:39" s="39" customFormat="1" ht="15" customHeight="1" x14ac:dyDescent="0.25">
      <c r="B45" s="232"/>
      <c r="C45" s="38" t="s">
        <v>7</v>
      </c>
      <c r="L45" s="270" t="str">
        <f>K6</f>
        <v>Nemocnica Sv. Cyrila a Metoda v Bratislave</v>
      </c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2"/>
    </row>
    <row r="46" spans="2:39" s="23" customFormat="1" x14ac:dyDescent="0.25">
      <c r="B46" s="220"/>
      <c r="AI46" s="26"/>
      <c r="AJ46" s="26"/>
      <c r="AK46" s="26"/>
      <c r="AL46" s="26"/>
      <c r="AM46" s="221"/>
    </row>
    <row r="47" spans="2:39" s="23" customFormat="1" x14ac:dyDescent="0.25">
      <c r="B47" s="220"/>
      <c r="C47" s="19" t="s">
        <v>11</v>
      </c>
      <c r="L47" s="40" t="str">
        <f>IF(K8="","",K8)</f>
        <v xml:space="preserve"> </v>
      </c>
      <c r="AI47" s="20" t="s">
        <v>13</v>
      </c>
      <c r="AJ47" s="26"/>
      <c r="AK47" s="26"/>
      <c r="AL47" s="26"/>
      <c r="AM47" s="233" t="e">
        <f>IF(#REF!= "","",#REF!)</f>
        <v>#REF!</v>
      </c>
    </row>
    <row r="48" spans="2:39" s="23" customFormat="1" x14ac:dyDescent="0.25">
      <c r="B48" s="220"/>
      <c r="AI48" s="26"/>
      <c r="AJ48" s="26"/>
      <c r="AK48" s="26"/>
      <c r="AL48" s="26"/>
      <c r="AM48" s="221"/>
    </row>
    <row r="49" spans="1:62" s="23" customFormat="1" ht="13.7" customHeight="1" x14ac:dyDescent="0.25">
      <c r="B49" s="220"/>
      <c r="C49" s="19" t="s">
        <v>14</v>
      </c>
      <c r="L49" s="23" t="str">
        <f>IF(E11= "","",E11)</f>
        <v xml:space="preserve"> </v>
      </c>
      <c r="AI49" s="20" t="s">
        <v>18</v>
      </c>
      <c r="AJ49" s="26"/>
      <c r="AK49" s="26"/>
      <c r="AL49" s="26"/>
      <c r="AM49" s="234" t="str">
        <f>IF(E17="","",E17)</f>
        <v xml:space="preserve"> </v>
      </c>
    </row>
    <row r="50" spans="1:62" s="23" customFormat="1" ht="13.7" customHeight="1" x14ac:dyDescent="0.25">
      <c r="B50" s="220"/>
      <c r="C50" s="19" t="s">
        <v>17</v>
      </c>
      <c r="L50" s="23" t="str">
        <f>IF(E14="","",E14)</f>
        <v xml:space="preserve"> </v>
      </c>
      <c r="AI50" s="20" t="s">
        <v>19</v>
      </c>
      <c r="AJ50" s="26"/>
      <c r="AK50" s="26"/>
      <c r="AL50" s="26"/>
      <c r="AM50" s="234" t="str">
        <f>IF(E20="","",E20)</f>
        <v xml:space="preserve"> </v>
      </c>
    </row>
    <row r="51" spans="1:62" s="23" customFormat="1" ht="10.9" customHeight="1" x14ac:dyDescent="0.25">
      <c r="B51" s="220"/>
      <c r="AI51" s="26"/>
      <c r="AJ51" s="26"/>
      <c r="AK51" s="26"/>
      <c r="AL51" s="26"/>
      <c r="AM51" s="221"/>
    </row>
    <row r="52" spans="1:62" s="23" customFormat="1" ht="29.25" customHeight="1" x14ac:dyDescent="0.25">
      <c r="B52" s="220"/>
      <c r="C52" s="255" t="s">
        <v>35</v>
      </c>
      <c r="D52" s="256"/>
      <c r="E52" s="256"/>
      <c r="F52" s="256"/>
      <c r="G52" s="256"/>
      <c r="H52" s="43"/>
      <c r="I52" s="257" t="s">
        <v>36</v>
      </c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8" t="s">
        <v>37</v>
      </c>
      <c r="AH52" s="256"/>
      <c r="AI52" s="256"/>
      <c r="AJ52" s="256"/>
      <c r="AK52" s="256"/>
      <c r="AL52" s="256"/>
      <c r="AM52" s="259"/>
    </row>
    <row r="53" spans="1:62" s="23" customFormat="1" ht="21.6" customHeight="1" x14ac:dyDescent="0.25">
      <c r="B53" s="220"/>
      <c r="AI53" s="26"/>
      <c r="AJ53" s="26"/>
      <c r="AK53" s="26"/>
      <c r="AL53" s="26"/>
      <c r="AM53" s="221"/>
    </row>
    <row r="54" spans="1:62" s="44" customFormat="1" ht="32.450000000000003" customHeight="1" x14ac:dyDescent="0.25">
      <c r="B54" s="235"/>
      <c r="C54" s="45" t="s">
        <v>38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60">
        <f>ROUND(SUM(AG55:AG75),2)</f>
        <v>0</v>
      </c>
      <c r="AH54" s="260"/>
      <c r="AI54" s="260"/>
      <c r="AJ54" s="260"/>
      <c r="AK54" s="260"/>
      <c r="AL54" s="260"/>
      <c r="AM54" s="261"/>
      <c r="AN54" s="47"/>
      <c r="AO54" s="48"/>
      <c r="AP54" s="47"/>
      <c r="AQ54" s="47"/>
      <c r="AR54" s="47"/>
      <c r="BF54" s="47"/>
    </row>
    <row r="55" spans="1:62" s="51" customFormat="1" ht="40.5" customHeight="1" x14ac:dyDescent="0.25">
      <c r="A55" s="49" t="s">
        <v>40</v>
      </c>
      <c r="B55" s="236"/>
      <c r="C55" s="50"/>
      <c r="D55" s="262" t="s">
        <v>41</v>
      </c>
      <c r="E55" s="262"/>
      <c r="F55" s="262"/>
      <c r="G55" s="262"/>
      <c r="H55" s="262"/>
      <c r="I55" s="8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3">
        <f>'A- demontáž'!J30</f>
        <v>0</v>
      </c>
      <c r="AH55" s="264"/>
      <c r="AI55" s="264"/>
      <c r="AJ55" s="264"/>
      <c r="AK55" s="264"/>
      <c r="AL55" s="264"/>
      <c r="AM55" s="264"/>
      <c r="AN55" s="227"/>
      <c r="AO55" s="10"/>
      <c r="AP55" s="9"/>
      <c r="AQ55" s="9"/>
      <c r="AR55" s="9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9"/>
      <c r="BG55" s="9"/>
      <c r="BH55" s="10"/>
      <c r="BI55" s="273"/>
      <c r="BJ55" s="273"/>
    </row>
    <row r="56" spans="1:62" s="51" customFormat="1" ht="27" customHeight="1" x14ac:dyDescent="0.25">
      <c r="A56" s="49" t="s">
        <v>40</v>
      </c>
      <c r="B56" s="236"/>
      <c r="C56" s="50"/>
      <c r="D56" s="262" t="s">
        <v>44</v>
      </c>
      <c r="E56" s="262"/>
      <c r="F56" s="262"/>
      <c r="G56" s="262"/>
      <c r="H56" s="262"/>
      <c r="I56" s="8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3">
        <f>'A- montáž '!J30</f>
        <v>0</v>
      </c>
      <c r="AH56" s="264"/>
      <c r="AI56" s="264"/>
      <c r="AJ56" s="264"/>
      <c r="AK56" s="264"/>
      <c r="AL56" s="264"/>
      <c r="AM56" s="264"/>
      <c r="AN56" s="227"/>
      <c r="AO56" s="10"/>
      <c r="AP56" s="9"/>
      <c r="AQ56" s="9"/>
      <c r="AR56" s="9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9"/>
      <c r="BG56" s="9"/>
      <c r="BH56" s="10"/>
      <c r="BI56" s="273"/>
      <c r="BJ56" s="273"/>
    </row>
    <row r="57" spans="1:62" s="51" customFormat="1" ht="40.5" customHeight="1" x14ac:dyDescent="0.25">
      <c r="A57" s="49" t="s">
        <v>40</v>
      </c>
      <c r="B57" s="236"/>
      <c r="C57" s="50"/>
      <c r="D57" s="262" t="s">
        <v>46</v>
      </c>
      <c r="E57" s="262"/>
      <c r="F57" s="262"/>
      <c r="G57" s="262"/>
      <c r="H57" s="262"/>
      <c r="I57" s="8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3">
        <f>'B- demontáž'!J30</f>
        <v>0</v>
      </c>
      <c r="AH57" s="264"/>
      <c r="AI57" s="264"/>
      <c r="AJ57" s="264"/>
      <c r="AK57" s="264"/>
      <c r="AL57" s="264"/>
      <c r="AM57" s="264"/>
      <c r="AN57" s="227"/>
      <c r="AO57" s="10"/>
      <c r="AP57" s="9"/>
      <c r="AQ57" s="9"/>
      <c r="AR57" s="9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9"/>
      <c r="BG57" s="9"/>
      <c r="BH57" s="10"/>
      <c r="BI57" s="273"/>
      <c r="BJ57" s="273"/>
    </row>
    <row r="58" spans="1:62" s="51" customFormat="1" ht="27" customHeight="1" x14ac:dyDescent="0.25">
      <c r="A58" s="49" t="s">
        <v>40</v>
      </c>
      <c r="B58" s="236"/>
      <c r="C58" s="50"/>
      <c r="D58" s="262" t="s">
        <v>48</v>
      </c>
      <c r="E58" s="262"/>
      <c r="F58" s="262"/>
      <c r="G58" s="262"/>
      <c r="H58" s="262"/>
      <c r="I58" s="8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3">
        <f>'B -montáž'!J30</f>
        <v>0</v>
      </c>
      <c r="AH58" s="264"/>
      <c r="AI58" s="264"/>
      <c r="AJ58" s="264"/>
      <c r="AK58" s="264"/>
      <c r="AL58" s="264"/>
      <c r="AM58" s="264"/>
      <c r="AN58" s="227"/>
      <c r="AO58" s="10"/>
      <c r="AP58" s="9"/>
      <c r="AQ58" s="9"/>
      <c r="AR58" s="9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9"/>
      <c r="BG58" s="9"/>
      <c r="BH58" s="10"/>
      <c r="BI58" s="273"/>
      <c r="BJ58" s="273"/>
    </row>
    <row r="59" spans="1:62" s="51" customFormat="1" ht="54" customHeight="1" x14ac:dyDescent="0.25">
      <c r="A59" s="49" t="s">
        <v>40</v>
      </c>
      <c r="B59" s="236"/>
      <c r="C59" s="50"/>
      <c r="D59" s="262" t="s">
        <v>50</v>
      </c>
      <c r="E59" s="262"/>
      <c r="F59" s="262"/>
      <c r="G59" s="262"/>
      <c r="H59" s="262"/>
      <c r="I59" s="8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3">
        <f>'C atrium- demontáž'!J30</f>
        <v>0</v>
      </c>
      <c r="AH59" s="264"/>
      <c r="AI59" s="264"/>
      <c r="AJ59" s="264"/>
      <c r="AK59" s="264"/>
      <c r="AL59" s="264"/>
      <c r="AM59" s="264"/>
      <c r="AN59" s="227"/>
      <c r="AO59" s="10"/>
      <c r="AP59" s="9"/>
      <c r="AQ59" s="9"/>
      <c r="AR59" s="9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9"/>
      <c r="BG59" s="9"/>
      <c r="BH59" s="10"/>
      <c r="BI59" s="273"/>
      <c r="BJ59" s="273"/>
    </row>
    <row r="60" spans="1:62" s="51" customFormat="1" ht="27" customHeight="1" x14ac:dyDescent="0.25">
      <c r="A60" s="49" t="s">
        <v>40</v>
      </c>
      <c r="B60" s="236"/>
      <c r="C60" s="50"/>
      <c r="D60" s="262" t="s">
        <v>52</v>
      </c>
      <c r="E60" s="262"/>
      <c r="F60" s="262"/>
      <c r="G60" s="262"/>
      <c r="H60" s="262"/>
      <c r="I60" s="8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3">
        <f>'C montáž'!J30</f>
        <v>0</v>
      </c>
      <c r="AH60" s="264"/>
      <c r="AI60" s="264"/>
      <c r="AJ60" s="264"/>
      <c r="AK60" s="264"/>
      <c r="AL60" s="264"/>
      <c r="AM60" s="264"/>
      <c r="AN60" s="227"/>
      <c r="AO60" s="10"/>
      <c r="AP60" s="9"/>
      <c r="AQ60" s="9"/>
      <c r="AR60" s="9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9"/>
      <c r="BG60" s="9"/>
      <c r="BH60" s="10"/>
      <c r="BI60" s="273"/>
      <c r="BJ60" s="273"/>
    </row>
    <row r="61" spans="1:62" s="51" customFormat="1" ht="40.5" customHeight="1" x14ac:dyDescent="0.25">
      <c r="A61" s="49" t="s">
        <v>40</v>
      </c>
      <c r="B61" s="236"/>
      <c r="C61" s="50"/>
      <c r="D61" s="262" t="s">
        <v>54</v>
      </c>
      <c r="E61" s="262"/>
      <c r="F61" s="262"/>
      <c r="G61" s="262"/>
      <c r="H61" s="262"/>
      <c r="I61" s="8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3">
        <f>'C1- demontáž '!J30</f>
        <v>0</v>
      </c>
      <c r="AH61" s="264"/>
      <c r="AI61" s="264"/>
      <c r="AJ61" s="264"/>
      <c r="AK61" s="264"/>
      <c r="AL61" s="264"/>
      <c r="AM61" s="264"/>
      <c r="AN61" s="227"/>
      <c r="AO61" s="10"/>
      <c r="AP61" s="9"/>
      <c r="AQ61" s="9"/>
      <c r="AR61" s="9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9"/>
      <c r="BG61" s="9"/>
      <c r="BH61" s="10"/>
      <c r="BI61" s="273"/>
      <c r="BJ61" s="273"/>
    </row>
    <row r="62" spans="1:62" s="51" customFormat="1" ht="27" customHeight="1" x14ac:dyDescent="0.25">
      <c r="A62" s="49" t="s">
        <v>40</v>
      </c>
      <c r="B62" s="236"/>
      <c r="C62" s="50"/>
      <c r="D62" s="262" t="s">
        <v>56</v>
      </c>
      <c r="E62" s="262"/>
      <c r="F62" s="262"/>
      <c r="G62" s="262"/>
      <c r="H62" s="262"/>
      <c r="I62" s="8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3">
        <f>'E-  montáž '!J30</f>
        <v>0</v>
      </c>
      <c r="AH62" s="264"/>
      <c r="AI62" s="264"/>
      <c r="AJ62" s="264"/>
      <c r="AK62" s="264"/>
      <c r="AL62" s="264"/>
      <c r="AM62" s="264"/>
      <c r="AN62" s="227"/>
      <c r="AO62" s="10"/>
      <c r="AP62" s="9"/>
      <c r="AQ62" s="9"/>
      <c r="AR62" s="9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9"/>
      <c r="BG62" s="9"/>
      <c r="BH62" s="10"/>
      <c r="BI62" s="273"/>
      <c r="BJ62" s="273"/>
    </row>
    <row r="63" spans="1:62" s="51" customFormat="1" ht="40.5" customHeight="1" x14ac:dyDescent="0.25">
      <c r="A63" s="49" t="s">
        <v>40</v>
      </c>
      <c r="B63" s="236"/>
      <c r="C63" s="50"/>
      <c r="D63" s="262" t="s">
        <v>58</v>
      </c>
      <c r="E63" s="262"/>
      <c r="F63" s="262"/>
      <c r="G63" s="262"/>
      <c r="H63" s="262"/>
      <c r="I63" s="8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3">
        <f>'E- demontáž '!J30</f>
        <v>0</v>
      </c>
      <c r="AH63" s="264"/>
      <c r="AI63" s="264"/>
      <c r="AJ63" s="264"/>
      <c r="AK63" s="264"/>
      <c r="AL63" s="264"/>
      <c r="AM63" s="264"/>
      <c r="AN63" s="227"/>
      <c r="AO63" s="10"/>
      <c r="AP63" s="9"/>
      <c r="AQ63" s="9"/>
      <c r="AR63" s="9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9"/>
      <c r="BG63" s="9"/>
      <c r="BH63" s="10"/>
      <c r="BI63" s="273"/>
      <c r="BJ63" s="273"/>
    </row>
    <row r="64" spans="1:62" s="51" customFormat="1" ht="40.5" customHeight="1" x14ac:dyDescent="0.25">
      <c r="A64" s="49" t="s">
        <v>40</v>
      </c>
      <c r="B64" s="236"/>
      <c r="C64" s="50"/>
      <c r="D64" s="262" t="s">
        <v>60</v>
      </c>
      <c r="E64" s="262"/>
      <c r="F64" s="262"/>
      <c r="G64" s="262"/>
      <c r="H64" s="262"/>
      <c r="I64" s="8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3">
        <f>'F- demontáž'!J30</f>
        <v>0</v>
      </c>
      <c r="AH64" s="264"/>
      <c r="AI64" s="264"/>
      <c r="AJ64" s="264"/>
      <c r="AK64" s="264"/>
      <c r="AL64" s="264"/>
      <c r="AM64" s="264"/>
      <c r="AN64" s="227"/>
      <c r="AO64" s="10"/>
      <c r="AP64" s="9"/>
      <c r="AQ64" s="9"/>
      <c r="AR64" s="9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9"/>
      <c r="BG64" s="9"/>
      <c r="BH64" s="10"/>
      <c r="BI64" s="273"/>
      <c r="BJ64" s="273"/>
    </row>
    <row r="65" spans="1:62" s="51" customFormat="1" ht="27" customHeight="1" x14ac:dyDescent="0.25">
      <c r="A65" s="49" t="s">
        <v>40</v>
      </c>
      <c r="B65" s="236"/>
      <c r="C65" s="50"/>
      <c r="D65" s="262" t="s">
        <v>62</v>
      </c>
      <c r="E65" s="262"/>
      <c r="F65" s="262"/>
      <c r="G65" s="262"/>
      <c r="H65" s="262"/>
      <c r="I65" s="8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3">
        <f>'F montáž '!J30</f>
        <v>0</v>
      </c>
      <c r="AH65" s="264"/>
      <c r="AI65" s="264"/>
      <c r="AJ65" s="264"/>
      <c r="AK65" s="264"/>
      <c r="AL65" s="264"/>
      <c r="AM65" s="264"/>
      <c r="AN65" s="227"/>
      <c r="AO65" s="10"/>
      <c r="AP65" s="9"/>
      <c r="AQ65" s="9"/>
      <c r="AR65" s="9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9"/>
      <c r="BG65" s="9"/>
      <c r="BH65" s="10"/>
      <c r="BI65" s="273"/>
      <c r="BJ65" s="273"/>
    </row>
    <row r="66" spans="1:62" s="51" customFormat="1" ht="40.5" customHeight="1" x14ac:dyDescent="0.25">
      <c r="A66" s="49" t="s">
        <v>40</v>
      </c>
      <c r="B66" s="236"/>
      <c r="C66" s="50"/>
      <c r="D66" s="262" t="s">
        <v>64</v>
      </c>
      <c r="E66" s="262"/>
      <c r="F66" s="262"/>
      <c r="G66" s="262"/>
      <c r="H66" s="262"/>
      <c r="I66" s="8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3">
        <f>'G- demontáž'!J30</f>
        <v>0</v>
      </c>
      <c r="AH66" s="264"/>
      <c r="AI66" s="264"/>
      <c r="AJ66" s="264"/>
      <c r="AK66" s="264"/>
      <c r="AL66" s="264"/>
      <c r="AM66" s="264"/>
      <c r="AN66" s="227"/>
      <c r="AO66" s="10"/>
      <c r="AP66" s="9"/>
      <c r="AQ66" s="9"/>
      <c r="AR66" s="9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9"/>
      <c r="BG66" s="9"/>
      <c r="BH66" s="10"/>
      <c r="BI66" s="273"/>
      <c r="BJ66" s="273"/>
    </row>
    <row r="67" spans="1:62" s="51" customFormat="1" ht="27" customHeight="1" x14ac:dyDescent="0.25">
      <c r="A67" s="49" t="s">
        <v>40</v>
      </c>
      <c r="B67" s="236"/>
      <c r="C67" s="50"/>
      <c r="D67" s="262" t="s">
        <v>66</v>
      </c>
      <c r="E67" s="262"/>
      <c r="F67" s="262"/>
      <c r="G67" s="262"/>
      <c r="H67" s="262"/>
      <c r="I67" s="8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3">
        <f>'G montáž'!J30</f>
        <v>0</v>
      </c>
      <c r="AH67" s="264"/>
      <c r="AI67" s="264"/>
      <c r="AJ67" s="264"/>
      <c r="AK67" s="264"/>
      <c r="AL67" s="264"/>
      <c r="AM67" s="264"/>
      <c r="AN67" s="227"/>
      <c r="AO67" s="10"/>
      <c r="AP67" s="9"/>
      <c r="AQ67" s="9"/>
      <c r="AR67" s="9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9"/>
      <c r="BG67" s="9"/>
      <c r="BH67" s="10"/>
      <c r="BI67" s="273"/>
      <c r="BJ67" s="273"/>
    </row>
    <row r="68" spans="1:62" s="51" customFormat="1" ht="40.5" customHeight="1" x14ac:dyDescent="0.25">
      <c r="A68" s="49" t="s">
        <v>40</v>
      </c>
      <c r="B68" s="236"/>
      <c r="C68" s="50"/>
      <c r="D68" s="262" t="s">
        <v>68</v>
      </c>
      <c r="E68" s="262"/>
      <c r="F68" s="262"/>
      <c r="G68" s="262"/>
      <c r="H68" s="262"/>
      <c r="I68" s="8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3">
        <f>'I- demontáž'!J30</f>
        <v>0</v>
      </c>
      <c r="AH68" s="264"/>
      <c r="AI68" s="264"/>
      <c r="AJ68" s="264"/>
      <c r="AK68" s="264"/>
      <c r="AL68" s="264"/>
      <c r="AM68" s="264"/>
      <c r="AN68" s="227"/>
      <c r="AO68" s="10"/>
      <c r="AP68" s="9"/>
      <c r="AQ68" s="9"/>
      <c r="AR68" s="9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9"/>
      <c r="BG68" s="9"/>
      <c r="BH68" s="10"/>
      <c r="BI68" s="273"/>
      <c r="BJ68" s="273"/>
    </row>
    <row r="69" spans="1:62" s="51" customFormat="1" ht="27" customHeight="1" x14ac:dyDescent="0.25">
      <c r="A69" s="49" t="s">
        <v>40</v>
      </c>
      <c r="B69" s="236"/>
      <c r="C69" s="50"/>
      <c r="D69" s="262" t="s">
        <v>70</v>
      </c>
      <c r="E69" s="262"/>
      <c r="F69" s="262"/>
      <c r="G69" s="262"/>
      <c r="H69" s="262"/>
      <c r="I69" s="8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3">
        <f>'I montáž '!J30</f>
        <v>0</v>
      </c>
      <c r="AH69" s="264"/>
      <c r="AI69" s="264"/>
      <c r="AJ69" s="264"/>
      <c r="AK69" s="264"/>
      <c r="AL69" s="264"/>
      <c r="AM69" s="264"/>
      <c r="AN69" s="227"/>
      <c r="AO69" s="10"/>
      <c r="AP69" s="9"/>
      <c r="AQ69" s="9"/>
      <c r="AR69" s="9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9"/>
      <c r="BG69" s="9"/>
      <c r="BH69" s="10"/>
      <c r="BI69" s="273"/>
      <c r="BJ69" s="273"/>
    </row>
    <row r="70" spans="1:62" s="51" customFormat="1" ht="40.5" customHeight="1" x14ac:dyDescent="0.25">
      <c r="A70" s="49" t="s">
        <v>40</v>
      </c>
      <c r="B70" s="236"/>
      <c r="C70" s="50"/>
      <c r="D70" s="262" t="s">
        <v>72</v>
      </c>
      <c r="E70" s="262"/>
      <c r="F70" s="262"/>
      <c r="G70" s="262"/>
      <c r="H70" s="262"/>
      <c r="I70" s="8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3">
        <f>'J- demontáž'!J30</f>
        <v>0</v>
      </c>
      <c r="AH70" s="264"/>
      <c r="AI70" s="264"/>
      <c r="AJ70" s="264"/>
      <c r="AK70" s="264"/>
      <c r="AL70" s="264"/>
      <c r="AM70" s="264"/>
      <c r="AN70" s="227"/>
      <c r="AO70" s="10"/>
      <c r="AP70" s="9"/>
      <c r="AQ70" s="9"/>
      <c r="AR70" s="9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9"/>
      <c r="BG70" s="9"/>
      <c r="BH70" s="10"/>
      <c r="BI70" s="273"/>
      <c r="BJ70" s="273"/>
    </row>
    <row r="71" spans="1:62" s="51" customFormat="1" ht="27" customHeight="1" x14ac:dyDescent="0.25">
      <c r="A71" s="49" t="s">
        <v>40</v>
      </c>
      <c r="B71" s="236"/>
      <c r="C71" s="50"/>
      <c r="D71" s="262" t="s">
        <v>74</v>
      </c>
      <c r="E71" s="262"/>
      <c r="F71" s="262"/>
      <c r="G71" s="262"/>
      <c r="H71" s="262"/>
      <c r="I71" s="8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3">
        <f>'J montáž '!J30</f>
        <v>0</v>
      </c>
      <c r="AH71" s="264"/>
      <c r="AI71" s="264"/>
      <c r="AJ71" s="264"/>
      <c r="AK71" s="264"/>
      <c r="AL71" s="264"/>
      <c r="AM71" s="264"/>
      <c r="AN71" s="227"/>
      <c r="AO71" s="10"/>
      <c r="AP71" s="9"/>
      <c r="AQ71" s="9"/>
      <c r="AR71" s="9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9"/>
      <c r="BG71" s="9"/>
      <c r="BH71" s="10"/>
      <c r="BI71" s="273"/>
      <c r="BJ71" s="273"/>
    </row>
    <row r="72" spans="1:62" s="51" customFormat="1" ht="40.5" customHeight="1" x14ac:dyDescent="0.25">
      <c r="A72" s="49" t="s">
        <v>40</v>
      </c>
      <c r="B72" s="236"/>
      <c r="C72" s="50"/>
      <c r="D72" s="262" t="s">
        <v>76</v>
      </c>
      <c r="E72" s="262"/>
      <c r="F72" s="262"/>
      <c r="G72" s="262"/>
      <c r="H72" s="262"/>
      <c r="I72" s="8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3">
        <f>'K- demontáž '!J30</f>
        <v>0</v>
      </c>
      <c r="AH72" s="264"/>
      <c r="AI72" s="264"/>
      <c r="AJ72" s="264"/>
      <c r="AK72" s="264"/>
      <c r="AL72" s="264"/>
      <c r="AM72" s="264"/>
      <c r="AN72" s="227"/>
      <c r="AO72" s="10"/>
      <c r="AP72" s="9"/>
      <c r="AQ72" s="9"/>
      <c r="AR72" s="9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9"/>
      <c r="BG72" s="9"/>
      <c r="BH72" s="10"/>
      <c r="BI72" s="273"/>
      <c r="BJ72" s="273"/>
    </row>
    <row r="73" spans="1:62" s="51" customFormat="1" ht="27" customHeight="1" x14ac:dyDescent="0.25">
      <c r="A73" s="49" t="s">
        <v>40</v>
      </c>
      <c r="B73" s="236"/>
      <c r="C73" s="50"/>
      <c r="D73" s="262" t="s">
        <v>78</v>
      </c>
      <c r="E73" s="262"/>
      <c r="F73" s="262"/>
      <c r="G73" s="262"/>
      <c r="H73" s="262"/>
      <c r="I73" s="8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3">
        <f>'K montáž'!J30</f>
        <v>0</v>
      </c>
      <c r="AH73" s="264"/>
      <c r="AI73" s="264"/>
      <c r="AJ73" s="264"/>
      <c r="AK73" s="264"/>
      <c r="AL73" s="264"/>
      <c r="AM73" s="264"/>
      <c r="AN73" s="227"/>
      <c r="AO73" s="10"/>
      <c r="AP73" s="9"/>
      <c r="AQ73" s="9"/>
      <c r="AR73" s="9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9"/>
      <c r="BG73" s="9"/>
      <c r="BH73" s="10"/>
      <c r="BI73" s="274"/>
      <c r="BJ73" s="275"/>
    </row>
    <row r="74" spans="1:62" s="51" customFormat="1" ht="40.5" customHeight="1" x14ac:dyDescent="0.25">
      <c r="A74" s="49" t="s">
        <v>40</v>
      </c>
      <c r="B74" s="236"/>
      <c r="C74" s="50"/>
      <c r="D74" s="262" t="s">
        <v>80</v>
      </c>
      <c r="E74" s="262"/>
      <c r="F74" s="262"/>
      <c r="G74" s="262"/>
      <c r="H74" s="262"/>
      <c r="I74" s="8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3">
        <f>'T- demontáž'!J30</f>
        <v>0</v>
      </c>
      <c r="AH74" s="264"/>
      <c r="AI74" s="264"/>
      <c r="AJ74" s="264"/>
      <c r="AK74" s="264"/>
      <c r="AL74" s="264"/>
      <c r="AM74" s="264"/>
      <c r="AN74" s="227"/>
      <c r="AO74" s="10"/>
      <c r="AP74" s="9"/>
      <c r="AQ74" s="9"/>
      <c r="AR74" s="9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9"/>
      <c r="BG74" s="9"/>
      <c r="BH74" s="10"/>
      <c r="BI74" s="273"/>
      <c r="BJ74" s="273"/>
    </row>
    <row r="75" spans="1:62" s="51" customFormat="1" ht="27" customHeight="1" x14ac:dyDescent="0.25">
      <c r="A75" s="49" t="s">
        <v>40</v>
      </c>
      <c r="B75" s="236"/>
      <c r="C75" s="50"/>
      <c r="D75" s="262" t="s">
        <v>82</v>
      </c>
      <c r="E75" s="262"/>
      <c r="F75" s="262"/>
      <c r="G75" s="262"/>
      <c r="H75" s="262"/>
      <c r="I75" s="8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3">
        <f>'T montáž '!J30</f>
        <v>0</v>
      </c>
      <c r="AH75" s="264"/>
      <c r="AI75" s="264"/>
      <c r="AJ75" s="264"/>
      <c r="AK75" s="264"/>
      <c r="AL75" s="264"/>
      <c r="AM75" s="264"/>
      <c r="AN75" s="227"/>
      <c r="AO75" s="10"/>
      <c r="AP75" s="9"/>
      <c r="AQ75" s="9"/>
      <c r="AR75" s="9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9"/>
      <c r="BG75" s="9"/>
      <c r="BH75" s="10"/>
      <c r="BI75" s="273"/>
      <c r="BJ75" s="273"/>
    </row>
    <row r="76" spans="1:62" s="23" customFormat="1" ht="30" customHeight="1" x14ac:dyDescent="0.25">
      <c r="B76" s="223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5"/>
      <c r="AJ76" s="225"/>
      <c r="AK76" s="225"/>
      <c r="AL76" s="225"/>
      <c r="AM76" s="226"/>
    </row>
    <row r="77" spans="1:62" s="23" customFormat="1" ht="6.95" customHeight="1" x14ac:dyDescent="0.25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6"/>
      <c r="AJ77" s="36"/>
      <c r="AK77" s="36"/>
      <c r="AL77" s="36"/>
      <c r="AM77" s="36"/>
    </row>
  </sheetData>
  <mergeCells count="113">
    <mergeCell ref="D74:H74"/>
    <mergeCell ref="J74:AF74"/>
    <mergeCell ref="AG74:AM74"/>
    <mergeCell ref="BI74:BJ74"/>
    <mergeCell ref="D75:H75"/>
    <mergeCell ref="J75:AF75"/>
    <mergeCell ref="AG75:AM75"/>
    <mergeCell ref="BI75:BJ75"/>
    <mergeCell ref="D72:H72"/>
    <mergeCell ref="J72:AF72"/>
    <mergeCell ref="AG72:AM72"/>
    <mergeCell ref="BI72:BJ72"/>
    <mergeCell ref="D73:H73"/>
    <mergeCell ref="J73:AF73"/>
    <mergeCell ref="AG73:AM73"/>
    <mergeCell ref="BI73:BJ73"/>
    <mergeCell ref="D70:H70"/>
    <mergeCell ref="J70:AF70"/>
    <mergeCell ref="AG70:AM70"/>
    <mergeCell ref="BI70:BJ70"/>
    <mergeCell ref="D71:H71"/>
    <mergeCell ref="J71:AF71"/>
    <mergeCell ref="AG71:AM71"/>
    <mergeCell ref="BI71:BJ71"/>
    <mergeCell ref="D68:H68"/>
    <mergeCell ref="J68:AF68"/>
    <mergeCell ref="AG68:AM68"/>
    <mergeCell ref="BI68:BJ68"/>
    <mergeCell ref="D69:H69"/>
    <mergeCell ref="J69:AF69"/>
    <mergeCell ref="AG69:AM69"/>
    <mergeCell ref="BI69:BJ69"/>
    <mergeCell ref="D66:H66"/>
    <mergeCell ref="J66:AF66"/>
    <mergeCell ref="AG66:AM66"/>
    <mergeCell ref="BI66:BJ66"/>
    <mergeCell ref="D67:H67"/>
    <mergeCell ref="J67:AF67"/>
    <mergeCell ref="AG67:AM67"/>
    <mergeCell ref="BI67:BJ67"/>
    <mergeCell ref="D64:H64"/>
    <mergeCell ref="J64:AF64"/>
    <mergeCell ref="AG64:AM64"/>
    <mergeCell ref="BI64:BJ64"/>
    <mergeCell ref="D65:H65"/>
    <mergeCell ref="J65:AF65"/>
    <mergeCell ref="AG65:AM65"/>
    <mergeCell ref="BI65:BJ65"/>
    <mergeCell ref="D62:H62"/>
    <mergeCell ref="J62:AF62"/>
    <mergeCell ref="AG62:AM62"/>
    <mergeCell ref="BI62:BJ62"/>
    <mergeCell ref="D63:H63"/>
    <mergeCell ref="J63:AF63"/>
    <mergeCell ref="AG63:AM63"/>
    <mergeCell ref="BI63:BJ63"/>
    <mergeCell ref="D60:H60"/>
    <mergeCell ref="J60:AF60"/>
    <mergeCell ref="AG60:AM60"/>
    <mergeCell ref="BI60:BJ60"/>
    <mergeCell ref="D61:H61"/>
    <mergeCell ref="J61:AF61"/>
    <mergeCell ref="AG61:AM61"/>
    <mergeCell ref="BI61:BJ61"/>
    <mergeCell ref="D58:H58"/>
    <mergeCell ref="J58:AF58"/>
    <mergeCell ref="AG58:AM58"/>
    <mergeCell ref="BI58:BJ58"/>
    <mergeCell ref="D59:H59"/>
    <mergeCell ref="J59:AF59"/>
    <mergeCell ref="AG59:AM59"/>
    <mergeCell ref="BI59:BJ59"/>
    <mergeCell ref="BI55:BJ55"/>
    <mergeCell ref="D56:H56"/>
    <mergeCell ref="J56:AF56"/>
    <mergeCell ref="AG56:AM56"/>
    <mergeCell ref="BI56:BJ56"/>
    <mergeCell ref="D57:H57"/>
    <mergeCell ref="J57:AF57"/>
    <mergeCell ref="AG57:AM57"/>
    <mergeCell ref="BI57:BJ57"/>
    <mergeCell ref="C52:G52"/>
    <mergeCell ref="I52:AF52"/>
    <mergeCell ref="AG52:AM52"/>
    <mergeCell ref="AG54:AM54"/>
    <mergeCell ref="D55:H55"/>
    <mergeCell ref="J55:AF55"/>
    <mergeCell ref="AG55:AM55"/>
    <mergeCell ref="L33:P33"/>
    <mergeCell ref="W33:AE33"/>
    <mergeCell ref="AK33:AM33"/>
    <mergeCell ref="X35:AB35"/>
    <mergeCell ref="AK35:AM35"/>
    <mergeCell ref="L45:AM45"/>
    <mergeCell ref="L32:P32"/>
    <mergeCell ref="W32:AE32"/>
    <mergeCell ref="AK32:AM32"/>
    <mergeCell ref="L29:P29"/>
    <mergeCell ref="W29:AE29"/>
    <mergeCell ref="AK29:AM29"/>
    <mergeCell ref="L30:P30"/>
    <mergeCell ref="W30:AE30"/>
    <mergeCell ref="AK30:AM30"/>
    <mergeCell ref="K5:AM5"/>
    <mergeCell ref="K6:AM6"/>
    <mergeCell ref="E23:AM23"/>
    <mergeCell ref="AK26:AM26"/>
    <mergeCell ref="L28:P28"/>
    <mergeCell ref="W28:AE28"/>
    <mergeCell ref="AK28:AM28"/>
    <mergeCell ref="L31:P31"/>
    <mergeCell ref="W31:AE31"/>
    <mergeCell ref="AK31:AM31"/>
  </mergeCells>
  <hyperlinks>
    <hyperlink ref="A75" location="'T montáž - skúška 1.1'!C2" display="/"/>
    <hyperlink ref="A74" location="'T- demontáž - skúška 1'!C2" display="/"/>
    <hyperlink ref="A73" location="'K montáž - skúška 1.1'!C2" display="/"/>
    <hyperlink ref="A72" location="'K- demontáž - skúška 1'!C2" display="/"/>
    <hyperlink ref="A71" location="'J montáž - skúška 1.1'!C2" display="/"/>
    <hyperlink ref="A70" location="'J- demontáž - skúška 1'!C2" display="/"/>
    <hyperlink ref="A69" location="'I montáž - skúška 1.1'!C2" display="/"/>
    <hyperlink ref="A68" location="'I- demontáž - skúška 1'!C2" display="/"/>
    <hyperlink ref="A67" location="'G montáž - skúška 1.1'!C2" display="/"/>
    <hyperlink ref="A66" location="'G- demontáž - skúška 1'!C2" display="/"/>
    <hyperlink ref="A65" location="'F montáž - skúška 1.1'!C2" display="/"/>
    <hyperlink ref="A64" location="'F- demontáž - skúška 1'!C2" display="/"/>
    <hyperlink ref="A63" location="'E- demontáž - skúška 1'!C2" display="/"/>
    <hyperlink ref="A62" location="'E-  montáž - skúška 1.1'!C2" display="/"/>
    <hyperlink ref="A61" location="'C1- demontáž - skúška 1'!C2" display="/"/>
    <hyperlink ref="A60" location="'C montáž - skúška 1.1'!C2" display="/"/>
    <hyperlink ref="A59" location="'C atrium- demontáž - skúš...'!C2" display="/"/>
    <hyperlink ref="A58" location="'B -montáž - skúška 1.1'!C2" display="/"/>
    <hyperlink ref="A57" location="'B- demontáž - skúška 1'!C2" display="/"/>
    <hyperlink ref="A56" location="'A montáž - skúška 1.1'!C2" display="/"/>
    <hyperlink ref="A55" location="'A- demontáž - skúška 1'!C2" display="/"/>
  </hyperlinks>
  <pageMargins left="0.7" right="0.7" top="0.75" bottom="0.75" header="0.3" footer="0.3"/>
  <pageSetup paperSize="9" fitToHeight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topLeftCell="A77" workbookViewId="0">
      <selection activeCell="I89" sqref="I89:I153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7.85546875" style="13"/>
    <col min="13" max="18" width="12.140625" style="13" hidden="1" customWidth="1"/>
    <col min="19" max="19" width="14" style="13" hidden="1" customWidth="1"/>
    <col min="20" max="20" width="14" style="13" customWidth="1"/>
    <col min="21" max="21" width="10.5703125" style="13" customWidth="1"/>
    <col min="22" max="22" width="12.85546875" style="13" customWidth="1"/>
    <col min="23" max="23" width="9.42578125" style="13" customWidth="1"/>
    <col min="24" max="24" width="12.85546875" style="13" customWidth="1"/>
    <col min="25" max="25" width="14" style="13" customWidth="1"/>
    <col min="26" max="26" width="9.42578125" style="13" customWidth="1"/>
    <col min="27" max="27" width="12.85546875" style="13" customWidth="1"/>
    <col min="28" max="28" width="14" style="13" customWidth="1"/>
    <col min="29" max="16384" width="7.85546875" style="13"/>
  </cols>
  <sheetData>
    <row r="1" spans="1:53" x14ac:dyDescent="0.2">
      <c r="A1" s="127"/>
    </row>
    <row r="2" spans="1:53" x14ac:dyDescent="0.2">
      <c r="L2" s="281"/>
      <c r="M2" s="281"/>
      <c r="N2" s="281"/>
      <c r="O2" s="281"/>
      <c r="P2" s="281"/>
      <c r="Q2" s="281"/>
      <c r="R2" s="281"/>
      <c r="S2" s="281"/>
      <c r="AQ2" s="128" t="s">
        <v>59</v>
      </c>
      <c r="AW2" s="128" t="s">
        <v>85</v>
      </c>
      <c r="AX2" s="128" t="s">
        <v>86</v>
      </c>
      <c r="AY2" s="128" t="s">
        <v>9</v>
      </c>
      <c r="AZ2" s="128" t="s">
        <v>519</v>
      </c>
      <c r="BA2" s="128" t="s">
        <v>88</v>
      </c>
    </row>
    <row r="3" spans="1:53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AQ3" s="128" t="s">
        <v>39</v>
      </c>
      <c r="AW3" s="128" t="s">
        <v>89</v>
      </c>
      <c r="AX3" s="128" t="s">
        <v>90</v>
      </c>
      <c r="AY3" s="128" t="s">
        <v>9</v>
      </c>
      <c r="AZ3" s="128" t="s">
        <v>520</v>
      </c>
      <c r="BA3" s="128" t="s">
        <v>88</v>
      </c>
    </row>
    <row r="4" spans="1:53" ht="18" x14ac:dyDescent="0.2">
      <c r="B4" s="130"/>
      <c r="D4" s="131" t="s">
        <v>92</v>
      </c>
      <c r="AQ4" s="128" t="s">
        <v>1</v>
      </c>
      <c r="AW4" s="128" t="s">
        <v>90</v>
      </c>
      <c r="AX4" s="128" t="s">
        <v>94</v>
      </c>
      <c r="AY4" s="128" t="s">
        <v>9</v>
      </c>
      <c r="AZ4" s="128" t="s">
        <v>521</v>
      </c>
      <c r="BA4" s="128" t="s">
        <v>88</v>
      </c>
    </row>
    <row r="5" spans="1:53" x14ac:dyDescent="0.2">
      <c r="B5" s="130"/>
    </row>
    <row r="6" spans="1:53" x14ac:dyDescent="0.2">
      <c r="B6" s="130"/>
      <c r="D6" s="128" t="s">
        <v>7</v>
      </c>
    </row>
    <row r="7" spans="1:53" x14ac:dyDescent="0.2">
      <c r="B7" s="130"/>
      <c r="E7" s="278" t="str">
        <f>'Rekapitulácia stavby'!K6</f>
        <v>Nemocnica Sv. Cyrila a Metoda v Bratislave</v>
      </c>
      <c r="F7" s="279"/>
      <c r="G7" s="279"/>
      <c r="H7" s="279"/>
    </row>
    <row r="8" spans="1:53" s="26" customFormat="1" x14ac:dyDescent="0.25">
      <c r="B8" s="132"/>
      <c r="D8" s="128" t="s">
        <v>96</v>
      </c>
    </row>
    <row r="9" spans="1:53" s="26" customFormat="1" ht="15" customHeight="1" x14ac:dyDescent="0.25">
      <c r="B9" s="132"/>
      <c r="E9" s="276" t="s">
        <v>58</v>
      </c>
      <c r="F9" s="277"/>
      <c r="G9" s="277"/>
      <c r="H9" s="277"/>
    </row>
    <row r="10" spans="1:53" s="26" customFormat="1" x14ac:dyDescent="0.25">
      <c r="B10" s="132"/>
    </row>
    <row r="11" spans="1:53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</row>
    <row r="12" spans="1:53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</row>
    <row r="13" spans="1:53" s="26" customFormat="1" x14ac:dyDescent="0.25">
      <c r="B13" s="132"/>
    </row>
    <row r="14" spans="1:53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</row>
    <row r="15" spans="1:53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</row>
    <row r="16" spans="1:53" s="26" customFormat="1" x14ac:dyDescent="0.25">
      <c r="B16" s="132"/>
    </row>
    <row r="17" spans="2:11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</row>
    <row r="18" spans="2:11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</row>
    <row r="19" spans="2:11" s="26" customFormat="1" x14ac:dyDescent="0.25">
      <c r="B19" s="132"/>
    </row>
    <row r="20" spans="2:11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</row>
    <row r="21" spans="2:11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</row>
    <row r="22" spans="2:11" s="26" customFormat="1" x14ac:dyDescent="0.25">
      <c r="B22" s="132"/>
    </row>
    <row r="23" spans="2:11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</row>
    <row r="24" spans="2:11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</row>
    <row r="25" spans="2:11" s="26" customFormat="1" x14ac:dyDescent="0.25">
      <c r="B25" s="132"/>
    </row>
    <row r="26" spans="2:11" s="26" customFormat="1" x14ac:dyDescent="0.25">
      <c r="B26" s="132"/>
      <c r="D26" s="128" t="s">
        <v>20</v>
      </c>
    </row>
    <row r="27" spans="2:11" s="42" customFormat="1" x14ac:dyDescent="0.25">
      <c r="B27" s="133"/>
      <c r="E27" s="278" t="s">
        <v>9</v>
      </c>
      <c r="F27" s="278"/>
      <c r="G27" s="278"/>
      <c r="H27" s="278"/>
    </row>
    <row r="28" spans="2:11" s="26" customFormat="1" x14ac:dyDescent="0.25">
      <c r="B28" s="132"/>
    </row>
    <row r="29" spans="2:11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</row>
    <row r="30" spans="2:11" s="26" customFormat="1" ht="15.75" x14ac:dyDescent="0.25">
      <c r="B30" s="132"/>
      <c r="D30" s="135" t="s">
        <v>21</v>
      </c>
      <c r="J30" s="136">
        <f>ROUND(J86, 2)</f>
        <v>0</v>
      </c>
    </row>
    <row r="31" spans="2:11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</row>
    <row r="32" spans="2:11" s="26" customFormat="1" x14ac:dyDescent="0.25">
      <c r="B32" s="132"/>
      <c r="F32" s="137" t="s">
        <v>23</v>
      </c>
      <c r="I32" s="137" t="s">
        <v>22</v>
      </c>
      <c r="J32" s="137" t="s">
        <v>24</v>
      </c>
    </row>
    <row r="33" spans="2:11" s="26" customFormat="1" x14ac:dyDescent="0.25">
      <c r="B33" s="132"/>
      <c r="D33" s="128" t="s">
        <v>25</v>
      </c>
      <c r="E33" s="128" t="s">
        <v>26</v>
      </c>
      <c r="F33" s="138">
        <f>ROUND((SUM(BB86:BB149)),  2)</f>
        <v>0</v>
      </c>
      <c r="I33" s="139">
        <v>0.2</v>
      </c>
      <c r="J33" s="138">
        <f>ROUND(((SUM(BB86:BB149))*I33),  2)</f>
        <v>0</v>
      </c>
    </row>
    <row r="34" spans="2:11" s="26" customFormat="1" x14ac:dyDescent="0.25">
      <c r="B34" s="132"/>
      <c r="E34" s="128" t="s">
        <v>27</v>
      </c>
      <c r="F34" s="138">
        <f>ROUND((SUM(BC86:BC149)),  2)</f>
        <v>0</v>
      </c>
      <c r="I34" s="139">
        <v>0.2</v>
      </c>
      <c r="J34" s="138">
        <f>ROUND(((SUM(BC86:BC149))*I34),  2)</f>
        <v>0</v>
      </c>
    </row>
    <row r="35" spans="2:11" s="26" customFormat="1" x14ac:dyDescent="0.25">
      <c r="B35" s="132"/>
      <c r="E35" s="128" t="s">
        <v>28</v>
      </c>
      <c r="F35" s="138">
        <f>ROUND((SUM(BD86:BD149)),  2)</f>
        <v>0</v>
      </c>
      <c r="I35" s="139">
        <v>0.2</v>
      </c>
      <c r="J35" s="138">
        <f>0</f>
        <v>0</v>
      </c>
    </row>
    <row r="36" spans="2:11" s="26" customFormat="1" x14ac:dyDescent="0.25">
      <c r="B36" s="132"/>
      <c r="E36" s="128" t="s">
        <v>29</v>
      </c>
      <c r="F36" s="138">
        <f>ROUND((SUM(BE86:BE149)),  2)</f>
        <v>0</v>
      </c>
      <c r="I36" s="139">
        <v>0.2</v>
      </c>
      <c r="J36" s="138">
        <f>0</f>
        <v>0</v>
      </c>
    </row>
    <row r="37" spans="2:11" s="26" customFormat="1" x14ac:dyDescent="0.25">
      <c r="B37" s="132"/>
      <c r="E37" s="128" t="s">
        <v>30</v>
      </c>
      <c r="F37" s="138">
        <f>ROUND((SUM(BF86:BF149)),  2)</f>
        <v>0</v>
      </c>
      <c r="I37" s="139">
        <v>0</v>
      </c>
      <c r="J37" s="138">
        <f>0</f>
        <v>0</v>
      </c>
    </row>
    <row r="38" spans="2:11" s="26" customFormat="1" x14ac:dyDescent="0.25">
      <c r="B38" s="132"/>
    </row>
    <row r="39" spans="2:11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</row>
    <row r="40" spans="2:11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</row>
    <row r="44" spans="2:11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</row>
    <row r="45" spans="2:11" s="26" customFormat="1" ht="18" x14ac:dyDescent="0.25">
      <c r="B45" s="132"/>
      <c r="C45" s="131" t="s">
        <v>97</v>
      </c>
    </row>
    <row r="46" spans="2:11" s="26" customFormat="1" x14ac:dyDescent="0.25">
      <c r="B46" s="132"/>
    </row>
    <row r="47" spans="2:11" s="26" customFormat="1" x14ac:dyDescent="0.25">
      <c r="B47" s="132"/>
      <c r="C47" s="128" t="s">
        <v>7</v>
      </c>
    </row>
    <row r="48" spans="2:11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</row>
    <row r="49" spans="2:44" s="26" customFormat="1" x14ac:dyDescent="0.25">
      <c r="B49" s="132"/>
      <c r="C49" s="128" t="s">
        <v>96</v>
      </c>
    </row>
    <row r="50" spans="2:44" s="26" customFormat="1" ht="15" customHeight="1" x14ac:dyDescent="0.25">
      <c r="B50" s="132"/>
      <c r="E50" s="276" t="str">
        <f>E9</f>
        <v>E- demontáž</v>
      </c>
      <c r="F50" s="277"/>
      <c r="G50" s="277"/>
      <c r="H50" s="277"/>
    </row>
    <row r="51" spans="2:44" s="26" customFormat="1" x14ac:dyDescent="0.25">
      <c r="B51" s="132"/>
    </row>
    <row r="52" spans="2:44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</row>
    <row r="53" spans="2:44" s="26" customFormat="1" x14ac:dyDescent="0.25">
      <c r="B53" s="132"/>
    </row>
    <row r="54" spans="2:44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</row>
    <row r="55" spans="2:44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</row>
    <row r="56" spans="2:44" s="26" customFormat="1" x14ac:dyDescent="0.25">
      <c r="B56" s="132"/>
    </row>
    <row r="57" spans="2:44" s="26" customFormat="1" ht="12" x14ac:dyDescent="0.25">
      <c r="B57" s="132"/>
      <c r="C57" s="144" t="s">
        <v>98</v>
      </c>
      <c r="J57" s="145" t="s">
        <v>99</v>
      </c>
    </row>
    <row r="58" spans="2:44" s="26" customFormat="1" x14ac:dyDescent="0.25">
      <c r="B58" s="132"/>
    </row>
    <row r="59" spans="2:44" s="26" customFormat="1" ht="15.75" x14ac:dyDescent="0.25">
      <c r="B59" s="132"/>
      <c r="C59" s="146" t="s">
        <v>100</v>
      </c>
      <c r="J59" s="136">
        <f>J86</f>
        <v>0</v>
      </c>
      <c r="AR59" s="128" t="s">
        <v>101</v>
      </c>
    </row>
    <row r="60" spans="2:44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</row>
    <row r="61" spans="2:44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</row>
    <row r="62" spans="2:44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</row>
    <row r="63" spans="2:44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J127</f>
        <v>0</v>
      </c>
    </row>
    <row r="64" spans="2:44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J128</f>
        <v>0</v>
      </c>
    </row>
    <row r="65" spans="2:11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J140</f>
        <v>0</v>
      </c>
    </row>
    <row r="66" spans="2:11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J148</f>
        <v>0</v>
      </c>
    </row>
    <row r="67" spans="2:11" s="26" customFormat="1" x14ac:dyDescent="0.25">
      <c r="B67" s="132"/>
    </row>
    <row r="68" spans="2:11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</row>
    <row r="72" spans="2:11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</row>
    <row r="73" spans="2:11" s="26" customFormat="1" ht="18" x14ac:dyDescent="0.25">
      <c r="B73" s="132"/>
      <c r="C73" s="131" t="s">
        <v>109</v>
      </c>
    </row>
    <row r="74" spans="2:11" s="26" customFormat="1" x14ac:dyDescent="0.25">
      <c r="B74" s="132"/>
    </row>
    <row r="75" spans="2:11" s="26" customFormat="1" x14ac:dyDescent="0.25">
      <c r="B75" s="132"/>
      <c r="C75" s="128" t="s">
        <v>7</v>
      </c>
    </row>
    <row r="76" spans="2:11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</row>
    <row r="77" spans="2:11" s="26" customFormat="1" x14ac:dyDescent="0.25">
      <c r="B77" s="132"/>
      <c r="C77" s="128" t="s">
        <v>96</v>
      </c>
    </row>
    <row r="78" spans="2:11" s="26" customFormat="1" ht="15" customHeight="1" x14ac:dyDescent="0.25">
      <c r="B78" s="132"/>
      <c r="E78" s="276" t="s">
        <v>522</v>
      </c>
      <c r="F78" s="277"/>
      <c r="G78" s="277"/>
      <c r="H78" s="277"/>
    </row>
    <row r="79" spans="2:11" s="26" customFormat="1" x14ac:dyDescent="0.25">
      <c r="B79" s="132"/>
    </row>
    <row r="80" spans="2:11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</row>
    <row r="81" spans="2:62" s="26" customFormat="1" x14ac:dyDescent="0.25">
      <c r="B81" s="132"/>
    </row>
    <row r="82" spans="2:62" s="26" customForma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</row>
    <row r="83" spans="2:62" s="26" customForma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</row>
    <row r="84" spans="2:62" s="26" customFormat="1" x14ac:dyDescent="0.25">
      <c r="B84" s="132"/>
    </row>
    <row r="85" spans="2:62" s="151" customFormat="1" ht="24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90" t="s">
        <v>25</v>
      </c>
      <c r="M85" s="90" t="s">
        <v>117</v>
      </c>
      <c r="N85" s="90" t="s">
        <v>118</v>
      </c>
      <c r="O85" s="90" t="s">
        <v>119</v>
      </c>
      <c r="P85" s="90" t="s">
        <v>120</v>
      </c>
      <c r="Q85" s="90" t="s">
        <v>121</v>
      </c>
      <c r="R85" s="91" t="s">
        <v>122</v>
      </c>
    </row>
    <row r="86" spans="2:62" s="26" customFormat="1" ht="15.75" x14ac:dyDescent="0.25">
      <c r="B86" s="132"/>
      <c r="C86" s="146" t="s">
        <v>100</v>
      </c>
      <c r="J86" s="152">
        <f>J87+J127</f>
        <v>0</v>
      </c>
      <c r="L86" s="134"/>
      <c r="M86" s="134"/>
      <c r="N86" s="154">
        <f>N87+N127</f>
        <v>3716.6816680499996</v>
      </c>
      <c r="O86" s="134"/>
      <c r="P86" s="154">
        <f>P87+P127</f>
        <v>53.368589650000004</v>
      </c>
      <c r="Q86" s="134"/>
      <c r="R86" s="155">
        <f>R87+R127</f>
        <v>108.2911</v>
      </c>
      <c r="AQ86" s="128" t="s">
        <v>123</v>
      </c>
      <c r="AR86" s="128" t="s">
        <v>101</v>
      </c>
      <c r="BH86" s="156">
        <f>BH87+BH127</f>
        <v>0</v>
      </c>
    </row>
    <row r="87" spans="2:62" s="158" customFormat="1" ht="15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N87" s="163">
        <f>N88+N91</f>
        <v>1935.2124680500001</v>
      </c>
      <c r="P87" s="163">
        <f>P88+P91</f>
        <v>50.705889650000003</v>
      </c>
      <c r="R87" s="164">
        <f>R88+R91</f>
        <v>0</v>
      </c>
      <c r="AO87" s="159" t="s">
        <v>42</v>
      </c>
      <c r="AQ87" s="165" t="s">
        <v>123</v>
      </c>
      <c r="AR87" s="165" t="s">
        <v>39</v>
      </c>
      <c r="AV87" s="159" t="s">
        <v>126</v>
      </c>
      <c r="BH87" s="166">
        <f>BH88+BH91</f>
        <v>0</v>
      </c>
    </row>
    <row r="88" spans="2:62" s="158" customFormat="1" ht="12.75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N88" s="163">
        <f>SUM(N89:N90)</f>
        <v>1053.43571905</v>
      </c>
      <c r="P88" s="163">
        <f>SUM(P89:P90)</f>
        <v>50.705889650000003</v>
      </c>
      <c r="R88" s="164">
        <f>SUM(R89:R90)</f>
        <v>0</v>
      </c>
      <c r="AO88" s="159" t="s">
        <v>42</v>
      </c>
      <c r="AQ88" s="165" t="s">
        <v>123</v>
      </c>
      <c r="AR88" s="165" t="s">
        <v>42</v>
      </c>
      <c r="AV88" s="159" t="s">
        <v>126</v>
      </c>
      <c r="BH88" s="166">
        <f>SUM(BH89:BH90)</f>
        <v>0</v>
      </c>
    </row>
    <row r="89" spans="2:62" s="26" customForma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v>99.302499999999995</v>
      </c>
      <c r="I89" s="174"/>
      <c r="J89" s="174">
        <f>ROUND(I89*H89,3)</f>
        <v>0</v>
      </c>
      <c r="K89" s="172" t="s">
        <v>9</v>
      </c>
      <c r="L89" s="176" t="s">
        <v>27</v>
      </c>
      <c r="M89" s="177">
        <v>0.42921999999999999</v>
      </c>
      <c r="N89" s="177">
        <f>M89*H89</f>
        <v>42.622619049999997</v>
      </c>
      <c r="O89" s="177">
        <v>2.0660000000000001E-2</v>
      </c>
      <c r="P89" s="177">
        <f>O89*H89</f>
        <v>2.0515896499999999</v>
      </c>
      <c r="Q89" s="177">
        <v>0</v>
      </c>
      <c r="R89" s="178">
        <f>Q89*H89</f>
        <v>0</v>
      </c>
      <c r="AO89" s="128" t="s">
        <v>132</v>
      </c>
      <c r="AQ89" s="128" t="s">
        <v>129</v>
      </c>
      <c r="AR89" s="128" t="s">
        <v>88</v>
      </c>
      <c r="AV89" s="128" t="s">
        <v>126</v>
      </c>
      <c r="BB89" s="138">
        <f>IF(L89="základná",J89,0)</f>
        <v>0</v>
      </c>
      <c r="BC89" s="138">
        <f>IF(L89="znížená",J89,0)</f>
        <v>0</v>
      </c>
      <c r="BD89" s="138">
        <f>IF(L89="zákl. prenesená",J89,0)</f>
        <v>0</v>
      </c>
      <c r="BE89" s="138">
        <f>IF(L89="zníž. prenesená",J89,0)</f>
        <v>0</v>
      </c>
      <c r="BF89" s="138">
        <f>IF(L89="nulová",J89,0)</f>
        <v>0</v>
      </c>
      <c r="BG89" s="128" t="s">
        <v>88</v>
      </c>
      <c r="BH89" s="166">
        <f>ROUND(I89*H89,3)</f>
        <v>0</v>
      </c>
      <c r="BI89" s="128" t="s">
        <v>132</v>
      </c>
      <c r="BJ89" s="128" t="s">
        <v>133</v>
      </c>
    </row>
    <row r="90" spans="2:62" s="26" customForma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2355</v>
      </c>
      <c r="I90" s="174"/>
      <c r="J90" s="174">
        <f>ROUND(I90*H90,3)</f>
        <v>0</v>
      </c>
      <c r="K90" s="172" t="s">
        <v>9</v>
      </c>
      <c r="L90" s="176" t="s">
        <v>27</v>
      </c>
      <c r="M90" s="177">
        <v>0.42921999999999999</v>
      </c>
      <c r="N90" s="177">
        <f>M90*H90</f>
        <v>1010.8131</v>
      </c>
      <c r="O90" s="177">
        <v>2.0660000000000001E-2</v>
      </c>
      <c r="P90" s="177">
        <f>O90*H90</f>
        <v>48.654300000000006</v>
      </c>
      <c r="Q90" s="177">
        <v>0</v>
      </c>
      <c r="R90" s="178">
        <f>Q90*H90</f>
        <v>0</v>
      </c>
      <c r="AO90" s="128" t="s">
        <v>132</v>
      </c>
      <c r="AQ90" s="128" t="s">
        <v>129</v>
      </c>
      <c r="AR90" s="128" t="s">
        <v>88</v>
      </c>
      <c r="AV90" s="128" t="s">
        <v>126</v>
      </c>
      <c r="BB90" s="138">
        <f>IF(L90="základná",J90,0)</f>
        <v>0</v>
      </c>
      <c r="BC90" s="138">
        <f>IF(L90="znížená",J90,0)</f>
        <v>0</v>
      </c>
      <c r="BD90" s="138">
        <f>IF(L90="zákl. prenesená",J90,0)</f>
        <v>0</v>
      </c>
      <c r="BE90" s="138">
        <f>IF(L90="zníž. prenesená",J90,0)</f>
        <v>0</v>
      </c>
      <c r="BF90" s="138">
        <f>IF(L90="nulová",J90,0)</f>
        <v>0</v>
      </c>
      <c r="BG90" s="128" t="s">
        <v>88</v>
      </c>
      <c r="BH90" s="166">
        <f>ROUND(I90*H90,3)</f>
        <v>0</v>
      </c>
      <c r="BI90" s="128" t="s">
        <v>132</v>
      </c>
      <c r="BJ90" s="128" t="s">
        <v>137</v>
      </c>
    </row>
    <row r="91" spans="2:62" s="158" customFormat="1" ht="12.75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SUM(J92:J125)</f>
        <v>0</v>
      </c>
      <c r="N91" s="163">
        <f>SUM(N103:N126)</f>
        <v>881.77674900000011</v>
      </c>
      <c r="P91" s="163">
        <f>SUM(P103:P126)</f>
        <v>0</v>
      </c>
      <c r="R91" s="164">
        <f>SUM(R103:R126)</f>
        <v>0</v>
      </c>
      <c r="AO91" s="159" t="s">
        <v>42</v>
      </c>
      <c r="AQ91" s="165" t="s">
        <v>123</v>
      </c>
      <c r="AR91" s="165" t="s">
        <v>42</v>
      </c>
      <c r="AV91" s="159" t="s">
        <v>126</v>
      </c>
      <c r="BH91" s="166">
        <f>SUM(BH103:BH126)</f>
        <v>0</v>
      </c>
    </row>
    <row r="92" spans="2:62" s="26" customFormat="1" x14ac:dyDescent="0.25">
      <c r="B92" s="169"/>
      <c r="C92" s="170">
        <v>3</v>
      </c>
      <c r="D92" s="170"/>
      <c r="E92" s="171">
        <v>113107141</v>
      </c>
      <c r="F92" s="172" t="s">
        <v>523</v>
      </c>
      <c r="G92" s="173" t="s">
        <v>136</v>
      </c>
      <c r="H92" s="174">
        <v>1888</v>
      </c>
      <c r="I92" s="174"/>
      <c r="J92" s="174">
        <f>I92*H92</f>
        <v>0</v>
      </c>
      <c r="K92" s="203"/>
      <c r="L92" s="176"/>
      <c r="M92" s="177"/>
      <c r="N92" s="177"/>
      <c r="O92" s="177"/>
      <c r="P92" s="177"/>
      <c r="Q92" s="177"/>
      <c r="R92" s="178"/>
      <c r="AO92" s="128"/>
      <c r="AQ92" s="128"/>
      <c r="AR92" s="128"/>
      <c r="AV92" s="128"/>
      <c r="BB92" s="138"/>
      <c r="BC92" s="138"/>
      <c r="BD92" s="138"/>
      <c r="BE92" s="138"/>
      <c r="BF92" s="138"/>
      <c r="BG92" s="128"/>
      <c r="BH92" s="166"/>
      <c r="BI92" s="128"/>
      <c r="BJ92" s="128"/>
    </row>
    <row r="93" spans="2:62" s="26" customFormat="1" x14ac:dyDescent="0.25">
      <c r="B93" s="169"/>
      <c r="C93" s="170">
        <v>4</v>
      </c>
      <c r="D93" s="170" t="s">
        <v>129</v>
      </c>
      <c r="E93" s="171" t="s">
        <v>144</v>
      </c>
      <c r="F93" s="172" t="s">
        <v>145</v>
      </c>
      <c r="G93" s="173" t="s">
        <v>146</v>
      </c>
      <c r="H93" s="174">
        <f>H97+H103+H112+H119</f>
        <v>498.37750000000005</v>
      </c>
      <c r="I93" s="174"/>
      <c r="J93" s="174">
        <f>ROUND(I93*H93,3)</f>
        <v>0</v>
      </c>
      <c r="K93" s="203" t="s">
        <v>9</v>
      </c>
      <c r="L93" s="176" t="s">
        <v>27</v>
      </c>
      <c r="M93" s="177">
        <v>0.89</v>
      </c>
      <c r="N93" s="177">
        <f>M93*H93</f>
        <v>443.55597500000005</v>
      </c>
      <c r="O93" s="177">
        <v>0</v>
      </c>
      <c r="P93" s="177">
        <f>O93*H93</f>
        <v>0</v>
      </c>
      <c r="Q93" s="177">
        <v>0</v>
      </c>
      <c r="R93" s="178">
        <f>Q93*H93</f>
        <v>0</v>
      </c>
      <c r="AO93" s="128" t="s">
        <v>132</v>
      </c>
      <c r="AQ93" s="128" t="s">
        <v>129</v>
      </c>
      <c r="AR93" s="128" t="s">
        <v>88</v>
      </c>
      <c r="AV93" s="128" t="s">
        <v>126</v>
      </c>
      <c r="BB93" s="138">
        <f>IF(L93="základná",J93,0)</f>
        <v>0</v>
      </c>
      <c r="BC93" s="138">
        <f>IF(L93="znížená",J93,0)</f>
        <v>0</v>
      </c>
      <c r="BD93" s="138">
        <f>IF(L93="zákl. prenesená",J93,0)</f>
        <v>0</v>
      </c>
      <c r="BE93" s="138">
        <f>IF(L93="zníž. prenesená",J93,0)</f>
        <v>0</v>
      </c>
      <c r="BF93" s="138">
        <f>IF(L93="nulová",J93,0)</f>
        <v>0</v>
      </c>
      <c r="BG93" s="128" t="s">
        <v>88</v>
      </c>
      <c r="BH93" s="166">
        <f>ROUND(I93*H93,3)</f>
        <v>0</v>
      </c>
      <c r="BI93" s="128" t="s">
        <v>132</v>
      </c>
      <c r="BJ93" s="128" t="s">
        <v>147</v>
      </c>
    </row>
    <row r="94" spans="2:62" s="26" customFormat="1" x14ac:dyDescent="0.25">
      <c r="B94" s="169"/>
      <c r="C94" s="194">
        <v>5</v>
      </c>
      <c r="D94" s="194"/>
      <c r="E94" s="171" t="s">
        <v>148</v>
      </c>
      <c r="F94" s="172" t="s">
        <v>149</v>
      </c>
      <c r="G94" s="173" t="s">
        <v>146</v>
      </c>
      <c r="H94" s="198">
        <f>H93*10</f>
        <v>4983.7750000000005</v>
      </c>
      <c r="I94" s="174"/>
      <c r="J94" s="174">
        <f t="shared" ref="J94:J103" si="0">ROUND(I94*H94,3)</f>
        <v>0</v>
      </c>
      <c r="K94" s="196"/>
      <c r="L94" s="176"/>
      <c r="M94" s="177"/>
      <c r="N94" s="177"/>
      <c r="O94" s="177"/>
      <c r="P94" s="177"/>
      <c r="Q94" s="177"/>
      <c r="R94" s="178"/>
      <c r="AO94" s="128"/>
      <c r="AQ94" s="128"/>
      <c r="AR94" s="128"/>
      <c r="AV94" s="128"/>
      <c r="BB94" s="138"/>
      <c r="BC94" s="138"/>
      <c r="BD94" s="138"/>
      <c r="BE94" s="138"/>
      <c r="BF94" s="138"/>
      <c r="BG94" s="128"/>
      <c r="BH94" s="166"/>
      <c r="BI94" s="128"/>
      <c r="BJ94" s="128"/>
    </row>
    <row r="95" spans="2:62" s="26" customFormat="1" x14ac:dyDescent="0.25">
      <c r="B95" s="169"/>
      <c r="C95" s="194"/>
      <c r="D95" s="194"/>
      <c r="E95" s="171"/>
      <c r="F95" s="172" t="s">
        <v>150</v>
      </c>
      <c r="H95" s="198"/>
      <c r="I95" s="198"/>
      <c r="J95" s="174"/>
      <c r="K95" s="196"/>
      <c r="L95" s="176"/>
      <c r="M95" s="177"/>
      <c r="N95" s="177"/>
      <c r="O95" s="177"/>
      <c r="P95" s="177"/>
      <c r="Q95" s="177"/>
      <c r="R95" s="178"/>
      <c r="AO95" s="128"/>
      <c r="AQ95" s="128"/>
      <c r="AR95" s="128"/>
      <c r="AV95" s="128"/>
      <c r="BB95" s="138"/>
      <c r="BC95" s="138"/>
      <c r="BD95" s="138"/>
      <c r="BE95" s="138"/>
      <c r="BF95" s="138"/>
      <c r="BG95" s="128"/>
      <c r="BH95" s="166"/>
      <c r="BI95" s="128"/>
      <c r="BJ95" s="128"/>
    </row>
    <row r="96" spans="2:62" s="26" customFormat="1" x14ac:dyDescent="0.25">
      <c r="B96" s="169"/>
      <c r="C96" s="194">
        <v>6</v>
      </c>
      <c r="D96" s="194"/>
      <c r="E96" s="171" t="s">
        <v>151</v>
      </c>
      <c r="F96" s="172" t="s">
        <v>152</v>
      </c>
      <c r="G96" s="173" t="s">
        <v>153</v>
      </c>
      <c r="H96" s="198">
        <v>1</v>
      </c>
      <c r="I96" s="198"/>
      <c r="J96" s="174">
        <f t="shared" si="0"/>
        <v>0</v>
      </c>
      <c r="K96" s="196"/>
      <c r="L96" s="176"/>
      <c r="M96" s="177"/>
      <c r="N96" s="177"/>
      <c r="O96" s="177"/>
      <c r="P96" s="177"/>
      <c r="Q96" s="177"/>
      <c r="R96" s="178"/>
      <c r="AO96" s="128"/>
      <c r="AQ96" s="128"/>
      <c r="AR96" s="128"/>
      <c r="AV96" s="128"/>
      <c r="BB96" s="138"/>
      <c r="BC96" s="138"/>
      <c r="BD96" s="138"/>
      <c r="BE96" s="138"/>
      <c r="BF96" s="138"/>
      <c r="BG96" s="128"/>
      <c r="BH96" s="166"/>
      <c r="BI96" s="128"/>
      <c r="BJ96" s="128"/>
    </row>
    <row r="97" spans="2:62" s="26" customFormat="1" ht="22.5" x14ac:dyDescent="0.25">
      <c r="B97" s="169"/>
      <c r="C97" s="170">
        <v>7</v>
      </c>
      <c r="D97" s="170" t="s">
        <v>129</v>
      </c>
      <c r="E97" s="171" t="s">
        <v>154</v>
      </c>
      <c r="F97" s="172" t="s">
        <v>524</v>
      </c>
      <c r="G97" s="173" t="s">
        <v>146</v>
      </c>
      <c r="H97" s="174">
        <f>H92*0.098</f>
        <v>185.024</v>
      </c>
      <c r="I97" s="174"/>
      <c r="J97" s="174">
        <f t="shared" si="0"/>
        <v>0</v>
      </c>
      <c r="K97" s="203" t="s">
        <v>156</v>
      </c>
      <c r="L97" s="176" t="s">
        <v>27</v>
      </c>
      <c r="M97" s="177">
        <v>0</v>
      </c>
      <c r="N97" s="177">
        <f t="shared" ref="N97:N104" si="1">M97*H97</f>
        <v>0</v>
      </c>
      <c r="O97" s="177">
        <v>0</v>
      </c>
      <c r="P97" s="177">
        <f t="shared" ref="P97:P104" si="2">O97*H97</f>
        <v>0</v>
      </c>
      <c r="Q97" s="177">
        <v>0</v>
      </c>
      <c r="R97" s="178">
        <f t="shared" ref="R97:R104" si="3">Q97*H97</f>
        <v>0</v>
      </c>
      <c r="AO97" s="128" t="s">
        <v>132</v>
      </c>
      <c r="AQ97" s="128" t="s">
        <v>129</v>
      </c>
      <c r="AR97" s="128" t="s">
        <v>88</v>
      </c>
      <c r="AV97" s="128" t="s">
        <v>126</v>
      </c>
      <c r="BB97" s="138">
        <f t="shared" ref="BB97:BB104" si="4">IF(L97="základná",J97,0)</f>
        <v>0</v>
      </c>
      <c r="BC97" s="138">
        <f t="shared" ref="BC97:BC104" si="5">IF(L97="znížená",J97,0)</f>
        <v>0</v>
      </c>
      <c r="BD97" s="138">
        <f t="shared" ref="BD97:BD104" si="6">IF(L97="zákl. prenesená",J97,0)</f>
        <v>0</v>
      </c>
      <c r="BE97" s="138">
        <f t="shared" ref="BE97:BE104" si="7">IF(L97="zníž. prenesená",J97,0)</f>
        <v>0</v>
      </c>
      <c r="BF97" s="138">
        <f t="shared" ref="BF97:BF104" si="8">IF(L97="nulová",J97,0)</f>
        <v>0</v>
      </c>
      <c r="BG97" s="128" t="s">
        <v>88</v>
      </c>
      <c r="BH97" s="166">
        <f t="shared" ref="BH97:BH104" si="9">ROUND(I97*H97,3)</f>
        <v>0</v>
      </c>
      <c r="BI97" s="128" t="s">
        <v>132</v>
      </c>
      <c r="BJ97" s="128" t="s">
        <v>157</v>
      </c>
    </row>
    <row r="98" spans="2:62" s="26" customFormat="1" x14ac:dyDescent="0.25">
      <c r="B98" s="169"/>
      <c r="C98" s="170">
        <v>8</v>
      </c>
      <c r="D98" s="170" t="s">
        <v>129</v>
      </c>
      <c r="E98" s="171" t="s">
        <v>158</v>
      </c>
      <c r="F98" s="172" t="s">
        <v>159</v>
      </c>
      <c r="G98" s="173" t="s">
        <v>146</v>
      </c>
      <c r="H98" s="174">
        <f>H97</f>
        <v>185.024</v>
      </c>
      <c r="I98" s="174"/>
      <c r="J98" s="174">
        <f t="shared" si="0"/>
        <v>0</v>
      </c>
      <c r="K98" s="203" t="s">
        <v>9</v>
      </c>
      <c r="L98" s="176" t="s">
        <v>27</v>
      </c>
      <c r="M98" s="177">
        <v>0.88200000000000001</v>
      </c>
      <c r="N98" s="177">
        <f t="shared" si="1"/>
        <v>163.191168</v>
      </c>
      <c r="O98" s="177">
        <v>0</v>
      </c>
      <c r="P98" s="177">
        <f t="shared" si="2"/>
        <v>0</v>
      </c>
      <c r="Q98" s="177">
        <v>0</v>
      </c>
      <c r="R98" s="178">
        <f t="shared" si="3"/>
        <v>0</v>
      </c>
      <c r="AO98" s="128" t="s">
        <v>132</v>
      </c>
      <c r="AQ98" s="128" t="s">
        <v>129</v>
      </c>
      <c r="AR98" s="128" t="s">
        <v>88</v>
      </c>
      <c r="AV98" s="128" t="s">
        <v>126</v>
      </c>
      <c r="BB98" s="138">
        <f t="shared" si="4"/>
        <v>0</v>
      </c>
      <c r="BC98" s="138">
        <f t="shared" si="5"/>
        <v>0</v>
      </c>
      <c r="BD98" s="138">
        <f t="shared" si="6"/>
        <v>0</v>
      </c>
      <c r="BE98" s="138">
        <f t="shared" si="7"/>
        <v>0</v>
      </c>
      <c r="BF98" s="138">
        <f t="shared" si="8"/>
        <v>0</v>
      </c>
      <c r="BG98" s="128" t="s">
        <v>88</v>
      </c>
      <c r="BH98" s="166">
        <f t="shared" si="9"/>
        <v>0</v>
      </c>
      <c r="BI98" s="128" t="s">
        <v>132</v>
      </c>
      <c r="BJ98" s="128" t="s">
        <v>160</v>
      </c>
    </row>
    <row r="99" spans="2:62" s="26" customFormat="1" ht="22.5" x14ac:dyDescent="0.25">
      <c r="B99" s="169"/>
      <c r="C99" s="170">
        <v>9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H98*2</f>
        <v>370.048</v>
      </c>
      <c r="I99" s="174"/>
      <c r="J99" s="174">
        <f t="shared" si="0"/>
        <v>0</v>
      </c>
      <c r="K99" s="203" t="s">
        <v>156</v>
      </c>
      <c r="L99" s="176" t="s">
        <v>27</v>
      </c>
      <c r="M99" s="177">
        <v>0.61799999999999999</v>
      </c>
      <c r="N99" s="177">
        <f t="shared" si="1"/>
        <v>228.68966399999999</v>
      </c>
      <c r="O99" s="177">
        <v>0</v>
      </c>
      <c r="P99" s="177">
        <f t="shared" si="2"/>
        <v>0</v>
      </c>
      <c r="Q99" s="177">
        <v>0</v>
      </c>
      <c r="R99" s="178">
        <f t="shared" si="3"/>
        <v>0</v>
      </c>
      <c r="AO99" s="128" t="s">
        <v>132</v>
      </c>
      <c r="AQ99" s="128" t="s">
        <v>129</v>
      </c>
      <c r="AR99" s="128" t="s">
        <v>88</v>
      </c>
      <c r="AV99" s="128" t="s">
        <v>126</v>
      </c>
      <c r="BB99" s="138">
        <f t="shared" si="4"/>
        <v>0</v>
      </c>
      <c r="BC99" s="138">
        <f t="shared" si="5"/>
        <v>0</v>
      </c>
      <c r="BD99" s="138">
        <f t="shared" si="6"/>
        <v>0</v>
      </c>
      <c r="BE99" s="138">
        <f t="shared" si="7"/>
        <v>0</v>
      </c>
      <c r="BF99" s="138">
        <f t="shared" si="8"/>
        <v>0</v>
      </c>
      <c r="BG99" s="128" t="s">
        <v>88</v>
      </c>
      <c r="BH99" s="166">
        <f t="shared" si="9"/>
        <v>0</v>
      </c>
      <c r="BI99" s="128" t="s">
        <v>132</v>
      </c>
      <c r="BJ99" s="128" t="s">
        <v>166</v>
      </c>
    </row>
    <row r="100" spans="2:62" s="26" customFormat="1" ht="22.5" x14ac:dyDescent="0.25">
      <c r="B100" s="169"/>
      <c r="C100" s="170">
        <v>10</v>
      </c>
      <c r="D100" s="170" t="s">
        <v>129</v>
      </c>
      <c r="E100" s="171" t="s">
        <v>167</v>
      </c>
      <c r="F100" s="172" t="s">
        <v>168</v>
      </c>
      <c r="G100" s="173" t="s">
        <v>146</v>
      </c>
      <c r="H100" s="174">
        <f>H97</f>
        <v>185.024</v>
      </c>
      <c r="I100" s="174"/>
      <c r="J100" s="174">
        <f t="shared" si="0"/>
        <v>0</v>
      </c>
      <c r="K100" s="203" t="s">
        <v>156</v>
      </c>
      <c r="L100" s="176" t="s">
        <v>27</v>
      </c>
      <c r="M100" s="177">
        <v>0.59799999999999998</v>
      </c>
      <c r="N100" s="177">
        <f t="shared" si="1"/>
        <v>110.644352</v>
      </c>
      <c r="O100" s="177">
        <v>0</v>
      </c>
      <c r="P100" s="177">
        <f t="shared" si="2"/>
        <v>0</v>
      </c>
      <c r="Q100" s="177">
        <v>0</v>
      </c>
      <c r="R100" s="178">
        <f t="shared" si="3"/>
        <v>0</v>
      </c>
      <c r="AO100" s="128" t="s">
        <v>132</v>
      </c>
      <c r="AQ100" s="128" t="s">
        <v>129</v>
      </c>
      <c r="AR100" s="128" t="s">
        <v>88</v>
      </c>
      <c r="AV100" s="128" t="s">
        <v>126</v>
      </c>
      <c r="BB100" s="138">
        <f t="shared" si="4"/>
        <v>0</v>
      </c>
      <c r="BC100" s="138">
        <f t="shared" si="5"/>
        <v>0</v>
      </c>
      <c r="BD100" s="138">
        <f t="shared" si="6"/>
        <v>0</v>
      </c>
      <c r="BE100" s="138">
        <f t="shared" si="7"/>
        <v>0</v>
      </c>
      <c r="BF100" s="138">
        <f t="shared" si="8"/>
        <v>0</v>
      </c>
      <c r="BG100" s="128" t="s">
        <v>88</v>
      </c>
      <c r="BH100" s="166">
        <f t="shared" si="9"/>
        <v>0</v>
      </c>
      <c r="BI100" s="128" t="s">
        <v>132</v>
      </c>
      <c r="BJ100" s="128" t="s">
        <v>169</v>
      </c>
    </row>
    <row r="101" spans="2:62" s="26" customFormat="1" ht="22.5" x14ac:dyDescent="0.25">
      <c r="B101" s="169"/>
      <c r="C101" s="170">
        <v>11</v>
      </c>
      <c r="D101" s="170" t="s">
        <v>129</v>
      </c>
      <c r="E101" s="171" t="s">
        <v>170</v>
      </c>
      <c r="F101" s="172" t="s">
        <v>171</v>
      </c>
      <c r="G101" s="173" t="s">
        <v>146</v>
      </c>
      <c r="H101" s="174">
        <f>H100</f>
        <v>185.024</v>
      </c>
      <c r="I101" s="174"/>
      <c r="J101" s="174">
        <f t="shared" si="0"/>
        <v>0</v>
      </c>
      <c r="K101" s="203" t="s">
        <v>156</v>
      </c>
      <c r="L101" s="176" t="s">
        <v>27</v>
      </c>
      <c r="M101" s="177">
        <v>7.0000000000000001E-3</v>
      </c>
      <c r="N101" s="177">
        <f t="shared" si="1"/>
        <v>1.2951680000000001</v>
      </c>
      <c r="O101" s="177">
        <v>0</v>
      </c>
      <c r="P101" s="177">
        <f t="shared" si="2"/>
        <v>0</v>
      </c>
      <c r="Q101" s="177">
        <v>0</v>
      </c>
      <c r="R101" s="178">
        <f t="shared" si="3"/>
        <v>0</v>
      </c>
      <c r="AO101" s="128" t="s">
        <v>132</v>
      </c>
      <c r="AQ101" s="128" t="s">
        <v>129</v>
      </c>
      <c r="AR101" s="128" t="s">
        <v>88</v>
      </c>
      <c r="AV101" s="128" t="s">
        <v>126</v>
      </c>
      <c r="BB101" s="138">
        <f t="shared" si="4"/>
        <v>0</v>
      </c>
      <c r="BC101" s="138">
        <f t="shared" si="5"/>
        <v>0</v>
      </c>
      <c r="BD101" s="138">
        <f t="shared" si="6"/>
        <v>0</v>
      </c>
      <c r="BE101" s="138">
        <f t="shared" si="7"/>
        <v>0</v>
      </c>
      <c r="BF101" s="138">
        <f t="shared" si="8"/>
        <v>0</v>
      </c>
      <c r="BG101" s="128" t="s">
        <v>88</v>
      </c>
      <c r="BH101" s="166">
        <f t="shared" si="9"/>
        <v>0</v>
      </c>
      <c r="BI101" s="128" t="s">
        <v>132</v>
      </c>
      <c r="BJ101" s="128" t="s">
        <v>172</v>
      </c>
    </row>
    <row r="102" spans="2:62" s="26" customFormat="1" x14ac:dyDescent="0.25">
      <c r="B102" s="169"/>
      <c r="C102" s="170">
        <v>12</v>
      </c>
      <c r="D102" s="170" t="s">
        <v>129</v>
      </c>
      <c r="E102" s="171" t="s">
        <v>525</v>
      </c>
      <c r="F102" s="172" t="s">
        <v>526</v>
      </c>
      <c r="G102" s="173" t="s">
        <v>146</v>
      </c>
      <c r="H102" s="174">
        <f>H101*14</f>
        <v>2590.3360000000002</v>
      </c>
      <c r="I102" s="174"/>
      <c r="J102" s="174">
        <f t="shared" si="0"/>
        <v>0</v>
      </c>
      <c r="K102" s="172" t="s">
        <v>9</v>
      </c>
      <c r="L102" s="176" t="s">
        <v>27</v>
      </c>
      <c r="M102" s="177">
        <v>0.89</v>
      </c>
      <c r="N102" s="177">
        <f t="shared" si="1"/>
        <v>2305.3990400000002</v>
      </c>
      <c r="O102" s="177">
        <v>0</v>
      </c>
      <c r="P102" s="177">
        <f t="shared" si="2"/>
        <v>0</v>
      </c>
      <c r="Q102" s="177">
        <v>0</v>
      </c>
      <c r="R102" s="178">
        <f t="shared" si="3"/>
        <v>0</v>
      </c>
      <c r="AO102" s="128" t="s">
        <v>132</v>
      </c>
      <c r="AQ102" s="128" t="s">
        <v>129</v>
      </c>
      <c r="AR102" s="128" t="s">
        <v>88</v>
      </c>
      <c r="AV102" s="128" t="s">
        <v>126</v>
      </c>
      <c r="BB102" s="138">
        <f t="shared" si="4"/>
        <v>0</v>
      </c>
      <c r="BC102" s="138">
        <f t="shared" si="5"/>
        <v>0</v>
      </c>
      <c r="BD102" s="138">
        <f t="shared" si="6"/>
        <v>0</v>
      </c>
      <c r="BE102" s="138">
        <f t="shared" si="7"/>
        <v>0</v>
      </c>
      <c r="BF102" s="138">
        <f t="shared" si="8"/>
        <v>0</v>
      </c>
      <c r="BG102" s="128" t="s">
        <v>88</v>
      </c>
      <c r="BH102" s="166">
        <f t="shared" si="9"/>
        <v>0</v>
      </c>
      <c r="BI102" s="128" t="s">
        <v>132</v>
      </c>
      <c r="BJ102" s="128" t="s">
        <v>147</v>
      </c>
    </row>
    <row r="103" spans="2:62" s="26" customFormat="1" ht="22.5" x14ac:dyDescent="0.25">
      <c r="B103" s="169"/>
      <c r="C103" s="170">
        <v>13</v>
      </c>
      <c r="D103" s="170" t="s">
        <v>129</v>
      </c>
      <c r="E103" s="171" t="s">
        <v>154</v>
      </c>
      <c r="F103" s="172" t="s">
        <v>155</v>
      </c>
      <c r="G103" s="173" t="s">
        <v>146</v>
      </c>
      <c r="H103" s="174">
        <v>89.244</v>
      </c>
      <c r="I103" s="174"/>
      <c r="J103" s="174">
        <f t="shared" si="0"/>
        <v>0</v>
      </c>
      <c r="K103" s="172" t="s">
        <v>156</v>
      </c>
      <c r="L103" s="176" t="s">
        <v>27</v>
      </c>
      <c r="M103" s="177">
        <v>0</v>
      </c>
      <c r="N103" s="177">
        <f t="shared" si="1"/>
        <v>0</v>
      </c>
      <c r="O103" s="177">
        <v>0</v>
      </c>
      <c r="P103" s="177">
        <f t="shared" si="2"/>
        <v>0</v>
      </c>
      <c r="Q103" s="177">
        <v>0</v>
      </c>
      <c r="R103" s="178">
        <f t="shared" si="3"/>
        <v>0</v>
      </c>
      <c r="AO103" s="128" t="s">
        <v>132</v>
      </c>
      <c r="AQ103" s="128" t="s">
        <v>129</v>
      </c>
      <c r="AR103" s="128" t="s">
        <v>88</v>
      </c>
      <c r="AV103" s="128" t="s">
        <v>126</v>
      </c>
      <c r="BB103" s="138">
        <f t="shared" si="4"/>
        <v>0</v>
      </c>
      <c r="BC103" s="138">
        <f t="shared" si="5"/>
        <v>0</v>
      </c>
      <c r="BD103" s="138">
        <f t="shared" si="6"/>
        <v>0</v>
      </c>
      <c r="BE103" s="138">
        <f t="shared" si="7"/>
        <v>0</v>
      </c>
      <c r="BF103" s="138">
        <f t="shared" si="8"/>
        <v>0</v>
      </c>
      <c r="BG103" s="128" t="s">
        <v>88</v>
      </c>
      <c r="BH103" s="166">
        <f t="shared" si="9"/>
        <v>0</v>
      </c>
      <c r="BI103" s="128" t="s">
        <v>132</v>
      </c>
      <c r="BJ103" s="128" t="s">
        <v>157</v>
      </c>
    </row>
    <row r="104" spans="2:62" s="26" customFormat="1" x14ac:dyDescent="0.25">
      <c r="B104" s="169"/>
      <c r="C104" s="170">
        <v>14</v>
      </c>
      <c r="D104" s="170" t="s">
        <v>129</v>
      </c>
      <c r="E104" s="171" t="s">
        <v>158</v>
      </c>
      <c r="F104" s="172" t="s">
        <v>159</v>
      </c>
      <c r="G104" s="173" t="s">
        <v>146</v>
      </c>
      <c r="H104" s="174">
        <v>89.244</v>
      </c>
      <c r="I104" s="174"/>
      <c r="J104" s="174">
        <f>ROUND(I104*H104,3)</f>
        <v>0</v>
      </c>
      <c r="K104" s="172" t="s">
        <v>9</v>
      </c>
      <c r="L104" s="176" t="s">
        <v>27</v>
      </c>
      <c r="M104" s="177">
        <v>0.88200000000000001</v>
      </c>
      <c r="N104" s="177">
        <f t="shared" si="1"/>
        <v>78.713207999999995</v>
      </c>
      <c r="O104" s="177">
        <v>0</v>
      </c>
      <c r="P104" s="177">
        <f t="shared" si="2"/>
        <v>0</v>
      </c>
      <c r="Q104" s="177">
        <v>0</v>
      </c>
      <c r="R104" s="178">
        <f t="shared" si="3"/>
        <v>0</v>
      </c>
      <c r="AO104" s="128" t="s">
        <v>132</v>
      </c>
      <c r="AQ104" s="128" t="s">
        <v>129</v>
      </c>
      <c r="AR104" s="128" t="s">
        <v>88</v>
      </c>
      <c r="AV104" s="128" t="s">
        <v>126</v>
      </c>
      <c r="BB104" s="138">
        <f t="shared" si="4"/>
        <v>0</v>
      </c>
      <c r="BC104" s="138">
        <f t="shared" si="5"/>
        <v>0</v>
      </c>
      <c r="BD104" s="138">
        <f t="shared" si="6"/>
        <v>0</v>
      </c>
      <c r="BE104" s="138">
        <f t="shared" si="7"/>
        <v>0</v>
      </c>
      <c r="BF104" s="138">
        <f t="shared" si="8"/>
        <v>0</v>
      </c>
      <c r="BG104" s="128" t="s">
        <v>88</v>
      </c>
      <c r="BH104" s="166">
        <f t="shared" si="9"/>
        <v>0</v>
      </c>
      <c r="BI104" s="128" t="s">
        <v>132</v>
      </c>
      <c r="BJ104" s="128" t="s">
        <v>160</v>
      </c>
    </row>
    <row r="105" spans="2:62" s="26" customFormat="1" x14ac:dyDescent="0.25">
      <c r="B105" s="132"/>
      <c r="D105" s="179" t="s">
        <v>161</v>
      </c>
      <c r="E105" s="128" t="s">
        <v>9</v>
      </c>
      <c r="F105" s="143" t="s">
        <v>162</v>
      </c>
      <c r="H105" s="166">
        <v>89.244</v>
      </c>
      <c r="R105" s="181"/>
      <c r="AQ105" s="128" t="s">
        <v>161</v>
      </c>
      <c r="AR105" s="128" t="s">
        <v>88</v>
      </c>
      <c r="AS105" s="26" t="s">
        <v>88</v>
      </c>
      <c r="AT105" s="26" t="s">
        <v>163</v>
      </c>
      <c r="AU105" s="26" t="s">
        <v>42</v>
      </c>
      <c r="AV105" s="128" t="s">
        <v>126</v>
      </c>
    </row>
    <row r="106" spans="2:62" s="26" customFormat="1" ht="22.5" x14ac:dyDescent="0.25">
      <c r="B106" s="169"/>
      <c r="C106" s="170">
        <v>15</v>
      </c>
      <c r="D106" s="170" t="s">
        <v>129</v>
      </c>
      <c r="E106" s="171" t="s">
        <v>164</v>
      </c>
      <c r="F106" s="172" t="s">
        <v>165</v>
      </c>
      <c r="G106" s="173" t="s">
        <v>146</v>
      </c>
      <c r="H106" s="174">
        <f>H104*2</f>
        <v>178.488</v>
      </c>
      <c r="I106" s="174"/>
      <c r="J106" s="174">
        <f>ROUND(I106*H106,3)</f>
        <v>0</v>
      </c>
      <c r="K106" s="172" t="s">
        <v>156</v>
      </c>
      <c r="L106" s="176" t="s">
        <v>27</v>
      </c>
      <c r="M106" s="177">
        <v>0.61799999999999999</v>
      </c>
      <c r="N106" s="177">
        <f>M106*H106</f>
        <v>110.305584</v>
      </c>
      <c r="O106" s="177">
        <v>0</v>
      </c>
      <c r="P106" s="177">
        <f>O106*H106</f>
        <v>0</v>
      </c>
      <c r="Q106" s="177">
        <v>0</v>
      </c>
      <c r="R106" s="178">
        <f>Q106*H106</f>
        <v>0</v>
      </c>
      <c r="AO106" s="128" t="s">
        <v>132</v>
      </c>
      <c r="AQ106" s="128" t="s">
        <v>129</v>
      </c>
      <c r="AR106" s="128" t="s">
        <v>88</v>
      </c>
      <c r="AV106" s="128" t="s">
        <v>126</v>
      </c>
      <c r="BB106" s="138">
        <f>IF(L106="základná",J106,0)</f>
        <v>0</v>
      </c>
      <c r="BC106" s="138">
        <f>IF(L106="znížená",J106,0)</f>
        <v>0</v>
      </c>
      <c r="BD106" s="138">
        <f>IF(L106="zákl. prenesená",J106,0)</f>
        <v>0</v>
      </c>
      <c r="BE106" s="138">
        <f>IF(L106="zníž. prenesená",J106,0)</f>
        <v>0</v>
      </c>
      <c r="BF106" s="138">
        <f>IF(L106="nulová",J106,0)</f>
        <v>0</v>
      </c>
      <c r="BG106" s="128" t="s">
        <v>88</v>
      </c>
      <c r="BH106" s="166">
        <f>ROUND(I106*H106,3)</f>
        <v>0</v>
      </c>
      <c r="BI106" s="128" t="s">
        <v>132</v>
      </c>
      <c r="BJ106" s="128" t="s">
        <v>166</v>
      </c>
    </row>
    <row r="107" spans="2:62" s="26" customFormat="1" x14ac:dyDescent="0.25">
      <c r="B107" s="132"/>
      <c r="D107" s="179" t="s">
        <v>161</v>
      </c>
      <c r="E107" s="128" t="s">
        <v>9</v>
      </c>
      <c r="F107" s="143" t="s">
        <v>527</v>
      </c>
      <c r="H107" s="166"/>
      <c r="R107" s="181"/>
      <c r="AQ107" s="128" t="s">
        <v>161</v>
      </c>
      <c r="AR107" s="128" t="s">
        <v>88</v>
      </c>
      <c r="AS107" s="26" t="s">
        <v>88</v>
      </c>
      <c r="AT107" s="26" t="s">
        <v>163</v>
      </c>
      <c r="AU107" s="26" t="s">
        <v>42</v>
      </c>
      <c r="AV107" s="128" t="s">
        <v>126</v>
      </c>
    </row>
    <row r="108" spans="2:62" s="26" customFormat="1" ht="22.5" x14ac:dyDescent="0.25">
      <c r="B108" s="169"/>
      <c r="C108" s="170">
        <v>16</v>
      </c>
      <c r="D108" s="170" t="s">
        <v>129</v>
      </c>
      <c r="E108" s="171" t="s">
        <v>167</v>
      </c>
      <c r="F108" s="172" t="s">
        <v>168</v>
      </c>
      <c r="G108" s="173" t="s">
        <v>146</v>
      </c>
      <c r="H108" s="174">
        <v>89.244</v>
      </c>
      <c r="I108" s="174"/>
      <c r="J108" s="174">
        <f>ROUND(I108*H108,3)</f>
        <v>0</v>
      </c>
      <c r="K108" s="172" t="s">
        <v>156</v>
      </c>
      <c r="L108" s="176" t="s">
        <v>27</v>
      </c>
      <c r="M108" s="177">
        <v>0.59799999999999998</v>
      </c>
      <c r="N108" s="177">
        <f>M108*H108</f>
        <v>53.367911999999997</v>
      </c>
      <c r="O108" s="177">
        <v>0</v>
      </c>
      <c r="P108" s="177">
        <f>O108*H108</f>
        <v>0</v>
      </c>
      <c r="Q108" s="177">
        <v>0</v>
      </c>
      <c r="R108" s="178">
        <f>Q108*H108</f>
        <v>0</v>
      </c>
      <c r="AO108" s="128" t="s">
        <v>132</v>
      </c>
      <c r="AQ108" s="128" t="s">
        <v>129</v>
      </c>
      <c r="AR108" s="128" t="s">
        <v>88</v>
      </c>
      <c r="AV108" s="128" t="s">
        <v>126</v>
      </c>
      <c r="BB108" s="138">
        <f>IF(L108="základná",J108,0)</f>
        <v>0</v>
      </c>
      <c r="BC108" s="138">
        <f>IF(L108="znížená",J108,0)</f>
        <v>0</v>
      </c>
      <c r="BD108" s="138">
        <f>IF(L108="zákl. prenesená",J108,0)</f>
        <v>0</v>
      </c>
      <c r="BE108" s="138">
        <f>IF(L108="zníž. prenesená",J108,0)</f>
        <v>0</v>
      </c>
      <c r="BF108" s="138">
        <f>IF(L108="nulová",J108,0)</f>
        <v>0</v>
      </c>
      <c r="BG108" s="128" t="s">
        <v>88</v>
      </c>
      <c r="BH108" s="166">
        <f>ROUND(I108*H108,3)</f>
        <v>0</v>
      </c>
      <c r="BI108" s="128" t="s">
        <v>132</v>
      </c>
      <c r="BJ108" s="128" t="s">
        <v>169</v>
      </c>
    </row>
    <row r="109" spans="2:62" s="26" customFormat="1" x14ac:dyDescent="0.25">
      <c r="B109" s="132"/>
      <c r="D109" s="179" t="s">
        <v>161</v>
      </c>
      <c r="E109" s="128" t="s">
        <v>9</v>
      </c>
      <c r="F109" s="143" t="s">
        <v>162</v>
      </c>
      <c r="H109" s="166">
        <v>89.244</v>
      </c>
      <c r="R109" s="181"/>
      <c r="AQ109" s="128" t="s">
        <v>161</v>
      </c>
      <c r="AR109" s="128" t="s">
        <v>88</v>
      </c>
      <c r="AS109" s="26" t="s">
        <v>88</v>
      </c>
      <c r="AT109" s="26" t="s">
        <v>163</v>
      </c>
      <c r="AU109" s="26" t="s">
        <v>42</v>
      </c>
      <c r="AV109" s="128" t="s">
        <v>126</v>
      </c>
    </row>
    <row r="110" spans="2:62" s="26" customFormat="1" ht="22.5" x14ac:dyDescent="0.25">
      <c r="B110" s="169"/>
      <c r="C110" s="170">
        <v>17</v>
      </c>
      <c r="D110" s="170" t="s">
        <v>129</v>
      </c>
      <c r="E110" s="171" t="s">
        <v>170</v>
      </c>
      <c r="F110" s="172" t="s">
        <v>171</v>
      </c>
      <c r="G110" s="173" t="s">
        <v>146</v>
      </c>
      <c r="H110" s="174">
        <f>H108*14</f>
        <v>1249.4159999999999</v>
      </c>
      <c r="I110" s="174"/>
      <c r="J110" s="174">
        <f>ROUND(I110*H110,3)</f>
        <v>0</v>
      </c>
      <c r="K110" s="172" t="s">
        <v>156</v>
      </c>
      <c r="L110" s="176" t="s">
        <v>27</v>
      </c>
      <c r="M110" s="177">
        <v>7.0000000000000001E-3</v>
      </c>
      <c r="N110" s="177">
        <f>M110*H110</f>
        <v>8.7459120000000006</v>
      </c>
      <c r="O110" s="177">
        <v>0</v>
      </c>
      <c r="P110" s="177">
        <f>O110*H110</f>
        <v>0</v>
      </c>
      <c r="Q110" s="177">
        <v>0</v>
      </c>
      <c r="R110" s="178">
        <f>Q110*H110</f>
        <v>0</v>
      </c>
      <c r="AO110" s="128" t="s">
        <v>132</v>
      </c>
      <c r="AQ110" s="128" t="s">
        <v>129</v>
      </c>
      <c r="AR110" s="128" t="s">
        <v>88</v>
      </c>
      <c r="AV110" s="128" t="s">
        <v>126</v>
      </c>
      <c r="BB110" s="138">
        <f>IF(L110="základná",J110,0)</f>
        <v>0</v>
      </c>
      <c r="BC110" s="138">
        <f>IF(L110="znížená",J110,0)</f>
        <v>0</v>
      </c>
      <c r="BD110" s="138">
        <f>IF(L110="zákl. prenesená",J110,0)</f>
        <v>0</v>
      </c>
      <c r="BE110" s="138">
        <f>IF(L110="zníž. prenesená",J110,0)</f>
        <v>0</v>
      </c>
      <c r="BF110" s="138">
        <f>IF(L110="nulová",J110,0)</f>
        <v>0</v>
      </c>
      <c r="BG110" s="128" t="s">
        <v>88</v>
      </c>
      <c r="BH110" s="166">
        <f>ROUND(I110*H110,3)</f>
        <v>0</v>
      </c>
      <c r="BI110" s="128" t="s">
        <v>132</v>
      </c>
      <c r="BJ110" s="128" t="s">
        <v>172</v>
      </c>
    </row>
    <row r="111" spans="2:62" s="26" customFormat="1" x14ac:dyDescent="0.25">
      <c r="B111" s="132"/>
      <c r="D111" s="179" t="s">
        <v>161</v>
      </c>
      <c r="E111" s="128" t="s">
        <v>9</v>
      </c>
      <c r="F111" s="143" t="s">
        <v>173</v>
      </c>
      <c r="H111" s="166"/>
      <c r="R111" s="181"/>
      <c r="AQ111" s="128" t="s">
        <v>161</v>
      </c>
      <c r="AR111" s="128" t="s">
        <v>88</v>
      </c>
      <c r="AS111" s="26" t="s">
        <v>88</v>
      </c>
      <c r="AT111" s="26" t="s">
        <v>163</v>
      </c>
      <c r="AU111" s="26" t="s">
        <v>42</v>
      </c>
      <c r="AV111" s="128" t="s">
        <v>126</v>
      </c>
    </row>
    <row r="112" spans="2:62" s="26" customFormat="1" ht="22.5" x14ac:dyDescent="0.25">
      <c r="B112" s="169"/>
      <c r="C112" s="170">
        <v>18</v>
      </c>
      <c r="D112" s="170" t="s">
        <v>129</v>
      </c>
      <c r="E112" s="171" t="s">
        <v>174</v>
      </c>
      <c r="F112" s="172" t="s">
        <v>175</v>
      </c>
      <c r="G112" s="173" t="s">
        <v>146</v>
      </c>
      <c r="H112" s="174">
        <f>H89*2.2</f>
        <v>218.46550000000002</v>
      </c>
      <c r="I112" s="174"/>
      <c r="J112" s="174">
        <f>ROUND(I112*H112,3)</f>
        <v>0</v>
      </c>
      <c r="K112" s="172" t="s">
        <v>156</v>
      </c>
      <c r="L112" s="176" t="s">
        <v>27</v>
      </c>
      <c r="M112" s="177">
        <v>0</v>
      </c>
      <c r="N112" s="177">
        <f>M112*H112</f>
        <v>0</v>
      </c>
      <c r="O112" s="177">
        <v>0</v>
      </c>
      <c r="P112" s="177">
        <f>O112*H112</f>
        <v>0</v>
      </c>
      <c r="Q112" s="177">
        <v>0</v>
      </c>
      <c r="R112" s="178">
        <f>Q112*H112</f>
        <v>0</v>
      </c>
      <c r="AO112" s="128" t="s">
        <v>132</v>
      </c>
      <c r="AQ112" s="128" t="s">
        <v>129</v>
      </c>
      <c r="AR112" s="128" t="s">
        <v>88</v>
      </c>
      <c r="AV112" s="128" t="s">
        <v>126</v>
      </c>
      <c r="BB112" s="138">
        <f>IF(L112="základná",J112,0)</f>
        <v>0</v>
      </c>
      <c r="BC112" s="138">
        <f>IF(L112="znížená",J112,0)</f>
        <v>0</v>
      </c>
      <c r="BD112" s="138">
        <f>IF(L112="zákl. prenesená",J112,0)</f>
        <v>0</v>
      </c>
      <c r="BE112" s="138">
        <f>IF(L112="zníž. prenesená",J112,0)</f>
        <v>0</v>
      </c>
      <c r="BF112" s="138">
        <f>IF(L112="nulová",J112,0)</f>
        <v>0</v>
      </c>
      <c r="BG112" s="128" t="s">
        <v>88</v>
      </c>
      <c r="BH112" s="166">
        <f>ROUND(I112*H112,3)</f>
        <v>0</v>
      </c>
      <c r="BI112" s="128" t="s">
        <v>132</v>
      </c>
      <c r="BJ112" s="128" t="s">
        <v>176</v>
      </c>
    </row>
    <row r="113" spans="2:62" s="26" customFormat="1" x14ac:dyDescent="0.25">
      <c r="B113" s="169"/>
      <c r="C113" s="170">
        <v>19</v>
      </c>
      <c r="D113" s="170" t="s">
        <v>129</v>
      </c>
      <c r="E113" s="171" t="s">
        <v>158</v>
      </c>
      <c r="F113" s="172" t="s">
        <v>159</v>
      </c>
      <c r="G113" s="173" t="s">
        <v>146</v>
      </c>
      <c r="H113" s="174">
        <f>H112</f>
        <v>218.46550000000002</v>
      </c>
      <c r="I113" s="174"/>
      <c r="J113" s="174">
        <f>ROUND(I113*H113,3)</f>
        <v>0</v>
      </c>
      <c r="K113" s="172" t="s">
        <v>9</v>
      </c>
      <c r="L113" s="176" t="s">
        <v>27</v>
      </c>
      <c r="M113" s="177">
        <v>0.88200000000000001</v>
      </c>
      <c r="N113" s="177">
        <f>M113*H113</f>
        <v>192.68657100000001</v>
      </c>
      <c r="O113" s="177">
        <v>0</v>
      </c>
      <c r="P113" s="177">
        <f>O113*H113</f>
        <v>0</v>
      </c>
      <c r="Q113" s="177">
        <v>0</v>
      </c>
      <c r="R113" s="178">
        <f>Q113*H113</f>
        <v>0</v>
      </c>
      <c r="AO113" s="128" t="s">
        <v>132</v>
      </c>
      <c r="AQ113" s="128" t="s">
        <v>129</v>
      </c>
      <c r="AR113" s="128" t="s">
        <v>88</v>
      </c>
      <c r="AV113" s="128" t="s">
        <v>126</v>
      </c>
      <c r="BB113" s="138">
        <f>IF(L113="základná",J113,0)</f>
        <v>0</v>
      </c>
      <c r="BC113" s="138">
        <f>IF(L113="znížená",J113,0)</f>
        <v>0</v>
      </c>
      <c r="BD113" s="138">
        <f>IF(L113="zákl. prenesená",J113,0)</f>
        <v>0</v>
      </c>
      <c r="BE113" s="138">
        <f>IF(L113="zníž. prenesená",J113,0)</f>
        <v>0</v>
      </c>
      <c r="BF113" s="138">
        <f>IF(L113="nulová",J113,0)</f>
        <v>0</v>
      </c>
      <c r="BG113" s="128" t="s">
        <v>88</v>
      </c>
      <c r="BH113" s="166">
        <f>ROUND(I113*H113,3)</f>
        <v>0</v>
      </c>
      <c r="BI113" s="128" t="s">
        <v>132</v>
      </c>
      <c r="BJ113" s="128" t="s">
        <v>177</v>
      </c>
    </row>
    <row r="114" spans="2:62" s="26" customFormat="1" ht="22.5" x14ac:dyDescent="0.25">
      <c r="B114" s="169"/>
      <c r="C114" s="170">
        <v>20</v>
      </c>
      <c r="D114" s="170" t="s">
        <v>129</v>
      </c>
      <c r="E114" s="171" t="s">
        <v>164</v>
      </c>
      <c r="F114" s="172" t="s">
        <v>165</v>
      </c>
      <c r="G114" s="173" t="s">
        <v>146</v>
      </c>
      <c r="H114" s="174">
        <f>H112*2</f>
        <v>436.93100000000004</v>
      </c>
      <c r="I114" s="174"/>
      <c r="J114" s="174">
        <f>ROUND(I114*H114,3)</f>
        <v>0</v>
      </c>
      <c r="K114" s="172" t="s">
        <v>156</v>
      </c>
      <c r="L114" s="176" t="s">
        <v>27</v>
      </c>
      <c r="M114" s="177">
        <v>0.61799999999999999</v>
      </c>
      <c r="N114" s="177">
        <f>M114*H114</f>
        <v>270.02335800000003</v>
      </c>
      <c r="O114" s="177">
        <v>0</v>
      </c>
      <c r="P114" s="177">
        <f>O114*H114</f>
        <v>0</v>
      </c>
      <c r="Q114" s="177">
        <v>0</v>
      </c>
      <c r="R114" s="178">
        <f>Q114*H114</f>
        <v>0</v>
      </c>
      <c r="AO114" s="128" t="s">
        <v>132</v>
      </c>
      <c r="AQ114" s="128" t="s">
        <v>129</v>
      </c>
      <c r="AR114" s="128" t="s">
        <v>88</v>
      </c>
      <c r="AV114" s="128" t="s">
        <v>126</v>
      </c>
      <c r="BB114" s="138">
        <f>IF(L114="základná",J114,0)</f>
        <v>0</v>
      </c>
      <c r="BC114" s="138">
        <f>IF(L114="znížená",J114,0)</f>
        <v>0</v>
      </c>
      <c r="BD114" s="138">
        <f>IF(L114="zákl. prenesená",J114,0)</f>
        <v>0</v>
      </c>
      <c r="BE114" s="138">
        <f>IF(L114="zníž. prenesená",J114,0)</f>
        <v>0</v>
      </c>
      <c r="BF114" s="138">
        <f>IF(L114="nulová",J114,0)</f>
        <v>0</v>
      </c>
      <c r="BG114" s="128" t="s">
        <v>88</v>
      </c>
      <c r="BH114" s="166">
        <f>ROUND(I114*H114,3)</f>
        <v>0</v>
      </c>
      <c r="BI114" s="128" t="s">
        <v>132</v>
      </c>
      <c r="BJ114" s="128" t="s">
        <v>178</v>
      </c>
    </row>
    <row r="115" spans="2:62" s="26" customFormat="1" x14ac:dyDescent="0.25">
      <c r="B115" s="132"/>
      <c r="D115" s="179" t="s">
        <v>161</v>
      </c>
      <c r="E115" s="128" t="s">
        <v>9</v>
      </c>
      <c r="F115" s="143" t="s">
        <v>528</v>
      </c>
      <c r="H115" s="166"/>
      <c r="R115" s="181"/>
      <c r="AQ115" s="128" t="s">
        <v>161</v>
      </c>
      <c r="AR115" s="128" t="s">
        <v>88</v>
      </c>
      <c r="AS115" s="26" t="s">
        <v>88</v>
      </c>
      <c r="AT115" s="26" t="s">
        <v>163</v>
      </c>
      <c r="AU115" s="26" t="s">
        <v>42</v>
      </c>
      <c r="AV115" s="128" t="s">
        <v>126</v>
      </c>
    </row>
    <row r="116" spans="2:62" s="26" customFormat="1" ht="22.5" x14ac:dyDescent="0.25">
      <c r="B116" s="169"/>
      <c r="C116" s="170">
        <v>21</v>
      </c>
      <c r="D116" s="170" t="s">
        <v>129</v>
      </c>
      <c r="E116" s="171" t="s">
        <v>167</v>
      </c>
      <c r="F116" s="172" t="s">
        <v>168</v>
      </c>
      <c r="G116" s="173" t="s">
        <v>146</v>
      </c>
      <c r="H116" s="174">
        <f>H112</f>
        <v>218.46550000000002</v>
      </c>
      <c r="I116" s="174"/>
      <c r="J116" s="174">
        <f>ROUND(I116*H116,3)</f>
        <v>0</v>
      </c>
      <c r="K116" s="172" t="s">
        <v>156</v>
      </c>
      <c r="L116" s="176" t="s">
        <v>27</v>
      </c>
      <c r="M116" s="177">
        <v>0.59799999999999998</v>
      </c>
      <c r="N116" s="177">
        <f>M116*H116</f>
        <v>130.642369</v>
      </c>
      <c r="O116" s="177">
        <v>0</v>
      </c>
      <c r="P116" s="177">
        <f>O116*H116</f>
        <v>0</v>
      </c>
      <c r="Q116" s="177">
        <v>0</v>
      </c>
      <c r="R116" s="178">
        <f>Q116*H116</f>
        <v>0</v>
      </c>
      <c r="AO116" s="128" t="s">
        <v>132</v>
      </c>
      <c r="AQ116" s="128" t="s">
        <v>129</v>
      </c>
      <c r="AR116" s="128" t="s">
        <v>88</v>
      </c>
      <c r="AV116" s="128" t="s">
        <v>126</v>
      </c>
      <c r="BB116" s="138">
        <f>IF(L116="základná",J116,0)</f>
        <v>0</v>
      </c>
      <c r="BC116" s="138">
        <f>IF(L116="znížená",J116,0)</f>
        <v>0</v>
      </c>
      <c r="BD116" s="138">
        <f>IF(L116="zákl. prenesená",J116,0)</f>
        <v>0</v>
      </c>
      <c r="BE116" s="138">
        <f>IF(L116="zníž. prenesená",J116,0)</f>
        <v>0</v>
      </c>
      <c r="BF116" s="138">
        <f>IF(L116="nulová",J116,0)</f>
        <v>0</v>
      </c>
      <c r="BG116" s="128" t="s">
        <v>88</v>
      </c>
      <c r="BH116" s="166">
        <f>ROUND(I116*H116,3)</f>
        <v>0</v>
      </c>
      <c r="BI116" s="128" t="s">
        <v>132</v>
      </c>
      <c r="BJ116" s="128" t="s">
        <v>179</v>
      </c>
    </row>
    <row r="117" spans="2:62" s="26" customFormat="1" ht="22.5" x14ac:dyDescent="0.25">
      <c r="B117" s="169"/>
      <c r="C117" s="170">
        <v>22</v>
      </c>
      <c r="D117" s="170" t="s">
        <v>129</v>
      </c>
      <c r="E117" s="171" t="s">
        <v>170</v>
      </c>
      <c r="F117" s="172" t="s">
        <v>171</v>
      </c>
      <c r="G117" s="173" t="s">
        <v>146</v>
      </c>
      <c r="H117" s="174">
        <f>H116*14</f>
        <v>3058.5170000000003</v>
      </c>
      <c r="I117" s="174"/>
      <c r="J117" s="174">
        <f>ROUND(I117*H117,3)</f>
        <v>0</v>
      </c>
      <c r="K117" s="172" t="s">
        <v>156</v>
      </c>
      <c r="L117" s="176" t="s">
        <v>27</v>
      </c>
      <c r="M117" s="177">
        <v>7.0000000000000001E-3</v>
      </c>
      <c r="N117" s="177">
        <f>M117*H117</f>
        <v>21.409619000000003</v>
      </c>
      <c r="O117" s="177">
        <v>0</v>
      </c>
      <c r="P117" s="177">
        <f>O117*H117</f>
        <v>0</v>
      </c>
      <c r="Q117" s="177">
        <v>0</v>
      </c>
      <c r="R117" s="178">
        <f>Q117*H117</f>
        <v>0</v>
      </c>
      <c r="AO117" s="128" t="s">
        <v>132</v>
      </c>
      <c r="AQ117" s="128" t="s">
        <v>129</v>
      </c>
      <c r="AR117" s="128" t="s">
        <v>88</v>
      </c>
      <c r="AV117" s="128" t="s">
        <v>126</v>
      </c>
      <c r="BB117" s="138">
        <f>IF(L117="základná",J117,0)</f>
        <v>0</v>
      </c>
      <c r="BC117" s="138">
        <f>IF(L117="znížená",J117,0)</f>
        <v>0</v>
      </c>
      <c r="BD117" s="138">
        <f>IF(L117="zákl. prenesená",J117,0)</f>
        <v>0</v>
      </c>
      <c r="BE117" s="138">
        <f>IF(L117="zníž. prenesená",J117,0)</f>
        <v>0</v>
      </c>
      <c r="BF117" s="138">
        <f>IF(L117="nulová",J117,0)</f>
        <v>0</v>
      </c>
      <c r="BG117" s="128" t="s">
        <v>88</v>
      </c>
      <c r="BH117" s="166">
        <f>ROUND(I117*H117,3)</f>
        <v>0</v>
      </c>
      <c r="BI117" s="128" t="s">
        <v>132</v>
      </c>
      <c r="BJ117" s="128" t="s">
        <v>180</v>
      </c>
    </row>
    <row r="118" spans="2:62" s="26" customFormat="1" x14ac:dyDescent="0.25">
      <c r="B118" s="132"/>
      <c r="D118" s="179" t="s">
        <v>161</v>
      </c>
      <c r="E118" s="128" t="s">
        <v>9</v>
      </c>
      <c r="F118" s="143" t="s">
        <v>529</v>
      </c>
      <c r="H118" s="166"/>
      <c r="R118" s="181"/>
      <c r="AQ118" s="128" t="s">
        <v>161</v>
      </c>
      <c r="AR118" s="128" t="s">
        <v>88</v>
      </c>
      <c r="AS118" s="26" t="s">
        <v>88</v>
      </c>
      <c r="AT118" s="26" t="s">
        <v>163</v>
      </c>
      <c r="AU118" s="26" t="s">
        <v>42</v>
      </c>
      <c r="AV118" s="128" t="s">
        <v>126</v>
      </c>
    </row>
    <row r="119" spans="2:62" s="26" customFormat="1" ht="22.5" x14ac:dyDescent="0.25">
      <c r="B119" s="169"/>
      <c r="C119" s="170">
        <v>23</v>
      </c>
      <c r="D119" s="170" t="s">
        <v>129</v>
      </c>
      <c r="E119" s="171" t="s">
        <v>182</v>
      </c>
      <c r="F119" s="172" t="s">
        <v>183</v>
      </c>
      <c r="G119" s="173" t="s">
        <v>146</v>
      </c>
      <c r="H119" s="174">
        <v>5.6440000000000001</v>
      </c>
      <c r="I119" s="174"/>
      <c r="J119" s="174">
        <f>ROUND(I119*H119,3)</f>
        <v>0</v>
      </c>
      <c r="K119" s="172" t="s">
        <v>156</v>
      </c>
      <c r="L119" s="176" t="s">
        <v>27</v>
      </c>
      <c r="M119" s="177">
        <v>0</v>
      </c>
      <c r="N119" s="177">
        <f>M119*H119</f>
        <v>0</v>
      </c>
      <c r="O119" s="177">
        <v>0</v>
      </c>
      <c r="P119" s="177">
        <f>O119*H119</f>
        <v>0</v>
      </c>
      <c r="Q119" s="177">
        <v>0</v>
      </c>
      <c r="R119" s="178">
        <f>Q119*H119</f>
        <v>0</v>
      </c>
      <c r="AO119" s="128" t="s">
        <v>132</v>
      </c>
      <c r="AQ119" s="128" t="s">
        <v>129</v>
      </c>
      <c r="AR119" s="128" t="s">
        <v>88</v>
      </c>
      <c r="AV119" s="128" t="s">
        <v>126</v>
      </c>
      <c r="BB119" s="138">
        <f>IF(L119="základná",J119,0)</f>
        <v>0</v>
      </c>
      <c r="BC119" s="138">
        <f>IF(L119="znížená",J119,0)</f>
        <v>0</v>
      </c>
      <c r="BD119" s="138">
        <f>IF(L119="zákl. prenesená",J119,0)</f>
        <v>0</v>
      </c>
      <c r="BE119" s="138">
        <f>IF(L119="zníž. prenesená",J119,0)</f>
        <v>0</v>
      </c>
      <c r="BF119" s="138">
        <f>IF(L119="nulová",J119,0)</f>
        <v>0</v>
      </c>
      <c r="BG119" s="128" t="s">
        <v>88</v>
      </c>
      <c r="BH119" s="166">
        <f>ROUND(I119*H119,3)</f>
        <v>0</v>
      </c>
      <c r="BI119" s="128" t="s">
        <v>132</v>
      </c>
      <c r="BJ119" s="128" t="s">
        <v>184</v>
      </c>
    </row>
    <row r="120" spans="2:62" s="26" customFormat="1" x14ac:dyDescent="0.25">
      <c r="B120" s="169"/>
      <c r="C120" s="170">
        <v>24</v>
      </c>
      <c r="D120" s="170" t="s">
        <v>129</v>
      </c>
      <c r="E120" s="171" t="s">
        <v>158</v>
      </c>
      <c r="F120" s="172" t="s">
        <v>159</v>
      </c>
      <c r="G120" s="173" t="s">
        <v>146</v>
      </c>
      <c r="H120" s="174">
        <v>5.6440000000000001</v>
      </c>
      <c r="I120" s="174"/>
      <c r="J120" s="174">
        <f>ROUND(I120*H120,3)</f>
        <v>0</v>
      </c>
      <c r="K120" s="172" t="s">
        <v>9</v>
      </c>
      <c r="L120" s="176" t="s">
        <v>27</v>
      </c>
      <c r="M120" s="177">
        <v>0.88200000000000001</v>
      </c>
      <c r="N120" s="177">
        <f>M120*H120</f>
        <v>4.978008</v>
      </c>
      <c r="O120" s="177">
        <v>0</v>
      </c>
      <c r="P120" s="177">
        <f>O120*H120</f>
        <v>0</v>
      </c>
      <c r="Q120" s="177">
        <v>0</v>
      </c>
      <c r="R120" s="178">
        <f>Q120*H120</f>
        <v>0</v>
      </c>
      <c r="AO120" s="128" t="s">
        <v>132</v>
      </c>
      <c r="AQ120" s="128" t="s">
        <v>129</v>
      </c>
      <c r="AR120" s="128" t="s">
        <v>88</v>
      </c>
      <c r="AV120" s="128" t="s">
        <v>126</v>
      </c>
      <c r="BB120" s="138">
        <f>IF(L120="základná",J120,0)</f>
        <v>0</v>
      </c>
      <c r="BC120" s="138">
        <f>IF(L120="znížená",J120,0)</f>
        <v>0</v>
      </c>
      <c r="BD120" s="138">
        <f>IF(L120="zákl. prenesená",J120,0)</f>
        <v>0</v>
      </c>
      <c r="BE120" s="138">
        <f>IF(L120="zníž. prenesená",J120,0)</f>
        <v>0</v>
      </c>
      <c r="BF120" s="138">
        <f>IF(L120="nulová",J120,0)</f>
        <v>0</v>
      </c>
      <c r="BG120" s="128" t="s">
        <v>88</v>
      </c>
      <c r="BH120" s="166">
        <f>ROUND(I120*H120,3)</f>
        <v>0</v>
      </c>
      <c r="BI120" s="128" t="s">
        <v>132</v>
      </c>
      <c r="BJ120" s="128" t="s">
        <v>185</v>
      </c>
    </row>
    <row r="121" spans="2:62" s="26" customFormat="1" x14ac:dyDescent="0.25">
      <c r="B121" s="169"/>
      <c r="C121" s="170">
        <v>25</v>
      </c>
      <c r="D121" s="170" t="s">
        <v>129</v>
      </c>
      <c r="E121" s="171" t="s">
        <v>164</v>
      </c>
      <c r="F121" s="172" t="s">
        <v>165</v>
      </c>
      <c r="G121" s="173" t="s">
        <v>146</v>
      </c>
      <c r="H121" s="174">
        <f>H120*2</f>
        <v>11.288</v>
      </c>
      <c r="I121" s="174"/>
      <c r="J121" s="174">
        <f>ROUND(I121*H121,3)</f>
        <v>0</v>
      </c>
      <c r="K121" s="172" t="s">
        <v>9</v>
      </c>
      <c r="L121" s="176" t="s">
        <v>27</v>
      </c>
      <c r="M121" s="177">
        <v>0.61799999999999999</v>
      </c>
      <c r="N121" s="177">
        <f>M121*H121</f>
        <v>6.9759840000000004</v>
      </c>
      <c r="O121" s="177">
        <v>0</v>
      </c>
      <c r="P121" s="177">
        <f>O121*H121</f>
        <v>0</v>
      </c>
      <c r="Q121" s="177">
        <v>0</v>
      </c>
      <c r="R121" s="178">
        <f>Q121*H121</f>
        <v>0</v>
      </c>
      <c r="AO121" s="128" t="s">
        <v>132</v>
      </c>
      <c r="AQ121" s="128" t="s">
        <v>129</v>
      </c>
      <c r="AR121" s="128" t="s">
        <v>88</v>
      </c>
      <c r="AV121" s="128" t="s">
        <v>126</v>
      </c>
      <c r="BB121" s="138">
        <f>IF(L121="základná",J121,0)</f>
        <v>0</v>
      </c>
      <c r="BC121" s="138">
        <f>IF(L121="znížená",J121,0)</f>
        <v>0</v>
      </c>
      <c r="BD121" s="138">
        <f>IF(L121="zákl. prenesená",J121,0)</f>
        <v>0</v>
      </c>
      <c r="BE121" s="138">
        <f>IF(L121="zníž. prenesená",J121,0)</f>
        <v>0</v>
      </c>
      <c r="BF121" s="138">
        <f>IF(L121="nulová",J121,0)</f>
        <v>0</v>
      </c>
      <c r="BG121" s="128" t="s">
        <v>88</v>
      </c>
      <c r="BH121" s="166">
        <f>ROUND(I121*H121,3)</f>
        <v>0</v>
      </c>
      <c r="BI121" s="128" t="s">
        <v>132</v>
      </c>
      <c r="BJ121" s="128" t="s">
        <v>186</v>
      </c>
    </row>
    <row r="122" spans="2:62" s="26" customFormat="1" x14ac:dyDescent="0.25">
      <c r="B122" s="132"/>
      <c r="D122" s="179" t="s">
        <v>161</v>
      </c>
      <c r="E122" s="128" t="s">
        <v>9</v>
      </c>
      <c r="F122" s="143" t="s">
        <v>530</v>
      </c>
      <c r="H122" s="166"/>
      <c r="R122" s="181"/>
      <c r="AQ122" s="128" t="s">
        <v>161</v>
      </c>
      <c r="AR122" s="128" t="s">
        <v>88</v>
      </c>
      <c r="AS122" s="26" t="s">
        <v>88</v>
      </c>
      <c r="AT122" s="26" t="s">
        <v>163</v>
      </c>
      <c r="AU122" s="26" t="s">
        <v>42</v>
      </c>
      <c r="AV122" s="128" t="s">
        <v>126</v>
      </c>
    </row>
    <row r="123" spans="2:62" s="26" customFormat="1" ht="22.5" x14ac:dyDescent="0.25">
      <c r="B123" s="169"/>
      <c r="C123" s="170">
        <v>26</v>
      </c>
      <c r="D123" s="170" t="s">
        <v>129</v>
      </c>
      <c r="E123" s="171" t="s">
        <v>167</v>
      </c>
      <c r="F123" s="172" t="s">
        <v>168</v>
      </c>
      <c r="G123" s="173" t="s">
        <v>146</v>
      </c>
      <c r="H123" s="174">
        <v>5.6440000000000001</v>
      </c>
      <c r="I123" s="174"/>
      <c r="J123" s="174">
        <f>ROUND(I123*H123,3)</f>
        <v>0</v>
      </c>
      <c r="K123" s="172" t="s">
        <v>156</v>
      </c>
      <c r="L123" s="176" t="s">
        <v>27</v>
      </c>
      <c r="M123" s="177">
        <v>0.59799999999999998</v>
      </c>
      <c r="N123" s="177">
        <f>M123*H123</f>
        <v>3.3751120000000001</v>
      </c>
      <c r="O123" s="177">
        <v>0</v>
      </c>
      <c r="P123" s="177">
        <f>O123*H123</f>
        <v>0</v>
      </c>
      <c r="Q123" s="177">
        <v>0</v>
      </c>
      <c r="R123" s="178">
        <f>Q123*H123</f>
        <v>0</v>
      </c>
      <c r="AO123" s="128" t="s">
        <v>132</v>
      </c>
      <c r="AQ123" s="128" t="s">
        <v>129</v>
      </c>
      <c r="AR123" s="128" t="s">
        <v>88</v>
      </c>
      <c r="AV123" s="128" t="s">
        <v>126</v>
      </c>
      <c r="BB123" s="138">
        <f>IF(L123="základná",J123,0)</f>
        <v>0</v>
      </c>
      <c r="BC123" s="138">
        <f>IF(L123="znížená",J123,0)</f>
        <v>0</v>
      </c>
      <c r="BD123" s="138">
        <f>IF(L123="zákl. prenesená",J123,0)</f>
        <v>0</v>
      </c>
      <c r="BE123" s="138">
        <f>IF(L123="zníž. prenesená",J123,0)</f>
        <v>0</v>
      </c>
      <c r="BF123" s="138">
        <f>IF(L123="nulová",J123,0)</f>
        <v>0</v>
      </c>
      <c r="BG123" s="128" t="s">
        <v>88</v>
      </c>
      <c r="BH123" s="166">
        <f>ROUND(I123*H123,3)</f>
        <v>0</v>
      </c>
      <c r="BI123" s="128" t="s">
        <v>132</v>
      </c>
      <c r="BJ123" s="128" t="s">
        <v>188</v>
      </c>
    </row>
    <row r="124" spans="2:62" s="26" customFormat="1" x14ac:dyDescent="0.25">
      <c r="B124" s="132"/>
      <c r="D124" s="179" t="s">
        <v>161</v>
      </c>
      <c r="E124" s="128" t="s">
        <v>9</v>
      </c>
      <c r="F124" s="143" t="s">
        <v>90</v>
      </c>
      <c r="H124" s="166">
        <v>5.6440000000000001</v>
      </c>
      <c r="R124" s="181"/>
      <c r="AQ124" s="128" t="s">
        <v>161</v>
      </c>
      <c r="AR124" s="128" t="s">
        <v>88</v>
      </c>
      <c r="AS124" s="26" t="s">
        <v>88</v>
      </c>
      <c r="AT124" s="26" t="s">
        <v>163</v>
      </c>
      <c r="AU124" s="26" t="s">
        <v>42</v>
      </c>
      <c r="AV124" s="128" t="s">
        <v>126</v>
      </c>
    </row>
    <row r="125" spans="2:62" s="26" customFormat="1" ht="22.5" x14ac:dyDescent="0.25">
      <c r="B125" s="169"/>
      <c r="C125" s="170">
        <v>27</v>
      </c>
      <c r="D125" s="170" t="s">
        <v>129</v>
      </c>
      <c r="E125" s="171" t="s">
        <v>170</v>
      </c>
      <c r="F125" s="172" t="s">
        <v>171</v>
      </c>
      <c r="G125" s="173" t="s">
        <v>146</v>
      </c>
      <c r="H125" s="174">
        <v>79.016000000000005</v>
      </c>
      <c r="I125" s="174"/>
      <c r="J125" s="174">
        <f>ROUND(I125*H125,3)</f>
        <v>0</v>
      </c>
      <c r="K125" s="172" t="s">
        <v>156</v>
      </c>
      <c r="L125" s="176" t="s">
        <v>27</v>
      </c>
      <c r="M125" s="177">
        <v>7.0000000000000001E-3</v>
      </c>
      <c r="N125" s="177">
        <f>M125*H125</f>
        <v>0.55311200000000005</v>
      </c>
      <c r="O125" s="177">
        <v>0</v>
      </c>
      <c r="P125" s="177">
        <f>O125*H125</f>
        <v>0</v>
      </c>
      <c r="Q125" s="177">
        <v>0</v>
      </c>
      <c r="R125" s="178">
        <f>Q125*H125</f>
        <v>0</v>
      </c>
      <c r="AO125" s="128" t="s">
        <v>132</v>
      </c>
      <c r="AQ125" s="128" t="s">
        <v>129</v>
      </c>
      <c r="AR125" s="128" t="s">
        <v>88</v>
      </c>
      <c r="AV125" s="128" t="s">
        <v>126</v>
      </c>
      <c r="BB125" s="138">
        <f>IF(L125="základná",J125,0)</f>
        <v>0</v>
      </c>
      <c r="BC125" s="138">
        <f>IF(L125="znížená",J125,0)</f>
        <v>0</v>
      </c>
      <c r="BD125" s="138">
        <f>IF(L125="zákl. prenesená",J125,0)</f>
        <v>0</v>
      </c>
      <c r="BE125" s="138">
        <f>IF(L125="zníž. prenesená",J125,0)</f>
        <v>0</v>
      </c>
      <c r="BF125" s="138">
        <f>IF(L125="nulová",J125,0)</f>
        <v>0</v>
      </c>
      <c r="BG125" s="128" t="s">
        <v>88</v>
      </c>
      <c r="BH125" s="166">
        <f>ROUND(I125*H125,3)</f>
        <v>0</v>
      </c>
      <c r="BI125" s="128" t="s">
        <v>132</v>
      </c>
      <c r="BJ125" s="128" t="s">
        <v>189</v>
      </c>
    </row>
    <row r="126" spans="2:62" s="26" customFormat="1" x14ac:dyDescent="0.25">
      <c r="B126" s="132"/>
      <c r="D126" s="179" t="s">
        <v>161</v>
      </c>
      <c r="E126" s="128" t="s">
        <v>9</v>
      </c>
      <c r="F126" s="143" t="s">
        <v>190</v>
      </c>
      <c r="H126" s="166">
        <v>79.016000000000005</v>
      </c>
      <c r="R126" s="181"/>
      <c r="AQ126" s="128" t="s">
        <v>161</v>
      </c>
      <c r="AR126" s="128" t="s">
        <v>88</v>
      </c>
      <c r="AS126" s="26" t="s">
        <v>88</v>
      </c>
      <c r="AT126" s="26" t="s">
        <v>163</v>
      </c>
      <c r="AU126" s="26" t="s">
        <v>42</v>
      </c>
      <c r="AV126" s="128" t="s">
        <v>126</v>
      </c>
    </row>
    <row r="127" spans="2:62" s="158" customFormat="1" ht="15" x14ac:dyDescent="0.2">
      <c r="B127" s="157"/>
      <c r="D127" s="159" t="s">
        <v>123</v>
      </c>
      <c r="E127" s="160" t="s">
        <v>191</v>
      </c>
      <c r="F127" s="160" t="s">
        <v>192</v>
      </c>
      <c r="J127" s="161">
        <f>J128+J140+J148</f>
        <v>0</v>
      </c>
      <c r="N127" s="163">
        <f>N128+N140+N148</f>
        <v>1781.4691999999998</v>
      </c>
      <c r="P127" s="163">
        <f>P128+P140+P148</f>
        <v>2.6626999999999996</v>
      </c>
      <c r="R127" s="164">
        <f>R128+R140+R148</f>
        <v>108.2911</v>
      </c>
      <c r="AO127" s="159" t="s">
        <v>88</v>
      </c>
      <c r="AQ127" s="165" t="s">
        <v>123</v>
      </c>
      <c r="AR127" s="165" t="s">
        <v>39</v>
      </c>
      <c r="AV127" s="159" t="s">
        <v>126</v>
      </c>
      <c r="BH127" s="166">
        <f>BH128+BH140+BH148</f>
        <v>0</v>
      </c>
    </row>
    <row r="128" spans="2:62" s="158" customFormat="1" ht="12.75" x14ac:dyDescent="0.2">
      <c r="B128" s="157"/>
      <c r="D128" s="159" t="s">
        <v>123</v>
      </c>
      <c r="E128" s="167" t="s">
        <v>193</v>
      </c>
      <c r="F128" s="167" t="s">
        <v>194</v>
      </c>
      <c r="J128" s="168">
        <f>SUM(J129:J139)</f>
        <v>0</v>
      </c>
      <c r="N128" s="163">
        <f>SUM(N129:N139)</f>
        <v>1518.2088999999999</v>
      </c>
      <c r="P128" s="163">
        <f>SUM(P129:P139)</f>
        <v>2.3314499999999998</v>
      </c>
      <c r="R128" s="164">
        <f>SUM(R129:R139)</f>
        <v>97.733999999999995</v>
      </c>
      <c r="AO128" s="159" t="s">
        <v>88</v>
      </c>
      <c r="AQ128" s="165" t="s">
        <v>123</v>
      </c>
      <c r="AR128" s="165" t="s">
        <v>42</v>
      </c>
      <c r="AV128" s="159" t="s">
        <v>126</v>
      </c>
      <c r="BH128" s="166">
        <f>SUM(BH129:BH139)</f>
        <v>0</v>
      </c>
    </row>
    <row r="129" spans="2:62" s="26" customFormat="1" ht="22.5" x14ac:dyDescent="0.25">
      <c r="B129" s="169"/>
      <c r="C129" s="170">
        <v>28</v>
      </c>
      <c r="D129" s="170" t="s">
        <v>129</v>
      </c>
      <c r="E129" s="171" t="s">
        <v>195</v>
      </c>
      <c r="F129" s="172" t="s">
        <v>196</v>
      </c>
      <c r="G129" s="173" t="s">
        <v>136</v>
      </c>
      <c r="H129" s="174">
        <v>109</v>
      </c>
      <c r="I129" s="174"/>
      <c r="J129" s="174">
        <f t="shared" ref="J129:J133" si="10">ROUND(I129*H129,3)</f>
        <v>0</v>
      </c>
      <c r="K129" s="172" t="s">
        <v>156</v>
      </c>
      <c r="L129" s="176" t="s">
        <v>27</v>
      </c>
      <c r="M129" s="177">
        <v>0.05</v>
      </c>
      <c r="N129" s="177">
        <f>M129*H129</f>
        <v>5.45</v>
      </c>
      <c r="O129" s="177">
        <v>0</v>
      </c>
      <c r="P129" s="177">
        <f>O129*H129</f>
        <v>0</v>
      </c>
      <c r="Q129" s="177">
        <v>6.0000000000000001E-3</v>
      </c>
      <c r="R129" s="178">
        <f>Q129*H129</f>
        <v>0.65400000000000003</v>
      </c>
      <c r="AO129" s="128" t="s">
        <v>197</v>
      </c>
      <c r="AQ129" s="128" t="s">
        <v>129</v>
      </c>
      <c r="AR129" s="128" t="s">
        <v>88</v>
      </c>
      <c r="AV129" s="128" t="s">
        <v>126</v>
      </c>
      <c r="BB129" s="138">
        <f>IF(L129="základná",J129,0)</f>
        <v>0</v>
      </c>
      <c r="BC129" s="138">
        <f>IF(L129="znížená",J129,0)</f>
        <v>0</v>
      </c>
      <c r="BD129" s="138">
        <f>IF(L129="zákl. prenesená",J129,0)</f>
        <v>0</v>
      </c>
      <c r="BE129" s="138">
        <f>IF(L129="zníž. prenesená",J129,0)</f>
        <v>0</v>
      </c>
      <c r="BF129" s="138">
        <f>IF(L129="nulová",J129,0)</f>
        <v>0</v>
      </c>
      <c r="BG129" s="128" t="s">
        <v>88</v>
      </c>
      <c r="BH129" s="166">
        <f>ROUND(I129*H129,3)</f>
        <v>0</v>
      </c>
      <c r="BI129" s="128" t="s">
        <v>197</v>
      </c>
      <c r="BJ129" s="128" t="s">
        <v>198</v>
      </c>
    </row>
    <row r="130" spans="2:62" s="26" customFormat="1" x14ac:dyDescent="0.25">
      <c r="B130" s="169"/>
      <c r="C130" s="170">
        <v>29</v>
      </c>
      <c r="D130" s="170" t="s">
        <v>129</v>
      </c>
      <c r="E130" s="171" t="s">
        <v>199</v>
      </c>
      <c r="F130" s="172" t="s">
        <v>200</v>
      </c>
      <c r="G130" s="173" t="s">
        <v>136</v>
      </c>
      <c r="H130" s="174">
        <v>164</v>
      </c>
      <c r="I130" s="174"/>
      <c r="J130" s="174">
        <f t="shared" si="10"/>
        <v>0</v>
      </c>
      <c r="K130" s="172" t="s">
        <v>9</v>
      </c>
      <c r="L130" s="176" t="s">
        <v>27</v>
      </c>
      <c r="M130" s="177">
        <v>2.7E-2</v>
      </c>
      <c r="N130" s="177">
        <f>M130*H130</f>
        <v>4.4279999999999999</v>
      </c>
      <c r="O130" s="177">
        <v>0</v>
      </c>
      <c r="P130" s="177">
        <f>O130*H130</f>
        <v>0</v>
      </c>
      <c r="Q130" s="177">
        <v>0</v>
      </c>
      <c r="R130" s="178">
        <f>Q130*H130</f>
        <v>0</v>
      </c>
      <c r="AO130" s="128" t="s">
        <v>197</v>
      </c>
      <c r="AQ130" s="128" t="s">
        <v>129</v>
      </c>
      <c r="AR130" s="128" t="s">
        <v>88</v>
      </c>
      <c r="AV130" s="128" t="s">
        <v>126</v>
      </c>
      <c r="BB130" s="138">
        <f>IF(L130="základná",J130,0)</f>
        <v>0</v>
      </c>
      <c r="BC130" s="138">
        <f>IF(L130="znížená",J130,0)</f>
        <v>0</v>
      </c>
      <c r="BD130" s="138">
        <f>IF(L130="zákl. prenesená",J130,0)</f>
        <v>0</v>
      </c>
      <c r="BE130" s="138">
        <f>IF(L130="zníž. prenesená",J130,0)</f>
        <v>0</v>
      </c>
      <c r="BF130" s="138">
        <f>IF(L130="nulová",J130,0)</f>
        <v>0</v>
      </c>
      <c r="BG130" s="128" t="s">
        <v>88</v>
      </c>
      <c r="BH130" s="166">
        <f>ROUND(I130*H130,3)</f>
        <v>0</v>
      </c>
      <c r="BI130" s="128" t="s">
        <v>197</v>
      </c>
      <c r="BJ130" s="128" t="s">
        <v>201</v>
      </c>
    </row>
    <row r="131" spans="2:62" s="26" customFormat="1" x14ac:dyDescent="0.25">
      <c r="B131" s="169"/>
      <c r="C131" s="170">
        <v>30</v>
      </c>
      <c r="D131" s="170" t="s">
        <v>129</v>
      </c>
      <c r="E131" s="171" t="s">
        <v>207</v>
      </c>
      <c r="F131" s="172" t="s">
        <v>208</v>
      </c>
      <c r="G131" s="173" t="s">
        <v>136</v>
      </c>
      <c r="H131" s="174">
        <v>55</v>
      </c>
      <c r="I131" s="174"/>
      <c r="J131" s="174">
        <f t="shared" si="10"/>
        <v>0</v>
      </c>
      <c r="K131" s="172" t="s">
        <v>9</v>
      </c>
      <c r="L131" s="176" t="s">
        <v>27</v>
      </c>
      <c r="M131" s="177">
        <v>0.05</v>
      </c>
      <c r="N131" s="177">
        <f>M131*H131</f>
        <v>2.75</v>
      </c>
      <c r="O131" s="177">
        <v>0</v>
      </c>
      <c r="P131" s="177">
        <f>O131*H131</f>
        <v>0</v>
      </c>
      <c r="Q131" s="177">
        <v>6.0000000000000001E-3</v>
      </c>
      <c r="R131" s="178">
        <f>Q131*H131</f>
        <v>0.33</v>
      </c>
      <c r="AO131" s="128" t="s">
        <v>197</v>
      </c>
      <c r="AQ131" s="128" t="s">
        <v>129</v>
      </c>
      <c r="AR131" s="128" t="s">
        <v>88</v>
      </c>
      <c r="AV131" s="128" t="s">
        <v>126</v>
      </c>
      <c r="BB131" s="138">
        <f>IF(L131="základná",J131,0)</f>
        <v>0</v>
      </c>
      <c r="BC131" s="138">
        <f>IF(L131="znížená",J131,0)</f>
        <v>0</v>
      </c>
      <c r="BD131" s="138">
        <f>IF(L131="zákl. prenesená",J131,0)</f>
        <v>0</v>
      </c>
      <c r="BE131" s="138">
        <f>IF(L131="zníž. prenesená",J131,0)</f>
        <v>0</v>
      </c>
      <c r="BF131" s="138">
        <f>IF(L131="nulová",J131,0)</f>
        <v>0</v>
      </c>
      <c r="BG131" s="128" t="s">
        <v>88</v>
      </c>
      <c r="BH131" s="166">
        <f>ROUND(I131*H131,3)</f>
        <v>0</v>
      </c>
      <c r="BI131" s="128" t="s">
        <v>197</v>
      </c>
      <c r="BJ131" s="128" t="s">
        <v>209</v>
      </c>
    </row>
    <row r="132" spans="2:62" s="26" customFormat="1" x14ac:dyDescent="0.25">
      <c r="B132" s="169"/>
      <c r="C132" s="170">
        <v>31</v>
      </c>
      <c r="D132" s="170" t="s">
        <v>129</v>
      </c>
      <c r="E132" s="171" t="s">
        <v>465</v>
      </c>
      <c r="F132" s="172" t="s">
        <v>466</v>
      </c>
      <c r="G132" s="173" t="s">
        <v>136</v>
      </c>
      <c r="H132" s="174">
        <v>2355</v>
      </c>
      <c r="I132" s="174"/>
      <c r="J132" s="174">
        <f t="shared" si="10"/>
        <v>0</v>
      </c>
      <c r="K132" s="172" t="s">
        <v>9</v>
      </c>
      <c r="L132" s="176" t="s">
        <v>27</v>
      </c>
      <c r="M132" s="177">
        <v>0.43458000000000002</v>
      </c>
      <c r="N132" s="177">
        <f>M132*H132</f>
        <v>1023.4359000000001</v>
      </c>
      <c r="O132" s="177">
        <v>9.8999999999999999E-4</v>
      </c>
      <c r="P132" s="177">
        <f>O132*H132</f>
        <v>2.3314499999999998</v>
      </c>
      <c r="Q132" s="177">
        <v>0</v>
      </c>
      <c r="R132" s="178">
        <f>Q132*H132</f>
        <v>0</v>
      </c>
      <c r="AO132" s="128" t="s">
        <v>197</v>
      </c>
      <c r="AQ132" s="128" t="s">
        <v>129</v>
      </c>
      <c r="AR132" s="128" t="s">
        <v>88</v>
      </c>
      <c r="AV132" s="128" t="s">
        <v>126</v>
      </c>
      <c r="BB132" s="138">
        <f>IF(L132="základná",J132,0)</f>
        <v>0</v>
      </c>
      <c r="BC132" s="138">
        <f>IF(L132="znížená",J132,0)</f>
        <v>0</v>
      </c>
      <c r="BD132" s="138">
        <f>IF(L132="zákl. prenesená",J132,0)</f>
        <v>0</v>
      </c>
      <c r="BE132" s="138">
        <f>IF(L132="zníž. prenesená",J132,0)</f>
        <v>0</v>
      </c>
      <c r="BF132" s="138">
        <f>IF(L132="nulová",J132,0)</f>
        <v>0</v>
      </c>
      <c r="BG132" s="128" t="s">
        <v>88</v>
      </c>
      <c r="BH132" s="166">
        <f>ROUND(I132*H132,3)</f>
        <v>0</v>
      </c>
      <c r="BI132" s="128" t="s">
        <v>197</v>
      </c>
      <c r="BJ132" s="128" t="s">
        <v>467</v>
      </c>
    </row>
    <row r="133" spans="2:62" s="26" customFormat="1" x14ac:dyDescent="0.25">
      <c r="B133" s="169"/>
      <c r="C133" s="170">
        <v>32</v>
      </c>
      <c r="D133" s="170" t="s">
        <v>129</v>
      </c>
      <c r="E133" s="171" t="s">
        <v>210</v>
      </c>
      <c r="F133" s="172" t="s">
        <v>211</v>
      </c>
      <c r="G133" s="173" t="s">
        <v>136</v>
      </c>
      <c r="H133" s="174">
        <f>H134</f>
        <v>2863</v>
      </c>
      <c r="I133" s="174"/>
      <c r="J133" s="174">
        <f t="shared" si="10"/>
        <v>0</v>
      </c>
      <c r="K133" s="172" t="s">
        <v>9</v>
      </c>
      <c r="L133" s="176" t="s">
        <v>27</v>
      </c>
      <c r="M133" s="177">
        <v>7.0999999999999994E-2</v>
      </c>
      <c r="N133" s="177">
        <f>M133*H133</f>
        <v>203.27299999999997</v>
      </c>
      <c r="O133" s="177">
        <v>0</v>
      </c>
      <c r="P133" s="177">
        <f>O133*H133</f>
        <v>0</v>
      </c>
      <c r="Q133" s="177">
        <v>1.6E-2</v>
      </c>
      <c r="R133" s="178">
        <f>Q133*H133</f>
        <v>45.808</v>
      </c>
      <c r="AO133" s="128" t="s">
        <v>197</v>
      </c>
      <c r="AQ133" s="128" t="s">
        <v>129</v>
      </c>
      <c r="AR133" s="128" t="s">
        <v>88</v>
      </c>
      <c r="AV133" s="128" t="s">
        <v>126</v>
      </c>
      <c r="BB133" s="138">
        <f>IF(L133="základná",J133,0)</f>
        <v>0</v>
      </c>
      <c r="BC133" s="138">
        <f>IF(L133="znížená",J133,0)</f>
        <v>0</v>
      </c>
      <c r="BD133" s="138">
        <f>IF(L133="zákl. prenesená",J133,0)</f>
        <v>0</v>
      </c>
      <c r="BE133" s="138">
        <f>IF(L133="zníž. prenesená",J133,0)</f>
        <v>0</v>
      </c>
      <c r="BF133" s="138">
        <f>IF(L133="nulová",J133,0)</f>
        <v>0</v>
      </c>
      <c r="BG133" s="128" t="s">
        <v>88</v>
      </c>
      <c r="BH133" s="166">
        <f>ROUND(I133*H133,3)</f>
        <v>0</v>
      </c>
      <c r="BI133" s="128" t="s">
        <v>197</v>
      </c>
      <c r="BJ133" s="128" t="s">
        <v>212</v>
      </c>
    </row>
    <row r="134" spans="2:62" s="26" customFormat="1" x14ac:dyDescent="0.25">
      <c r="B134" s="132"/>
      <c r="D134" s="179" t="s">
        <v>161</v>
      </c>
      <c r="E134" s="128" t="s">
        <v>9</v>
      </c>
      <c r="F134" s="143" t="s">
        <v>531</v>
      </c>
      <c r="H134" s="166">
        <f>2355+508</f>
        <v>2863</v>
      </c>
      <c r="R134" s="181"/>
      <c r="AQ134" s="128" t="s">
        <v>161</v>
      </c>
      <c r="AR134" s="128" t="s">
        <v>88</v>
      </c>
      <c r="AS134" s="26" t="s">
        <v>88</v>
      </c>
      <c r="AT134" s="26" t="s">
        <v>163</v>
      </c>
      <c r="AU134" s="26" t="s">
        <v>42</v>
      </c>
      <c r="AV134" s="128" t="s">
        <v>126</v>
      </c>
    </row>
    <row r="135" spans="2:62" s="26" customFormat="1" ht="22.5" x14ac:dyDescent="0.25">
      <c r="B135" s="169"/>
      <c r="C135" s="170">
        <v>33</v>
      </c>
      <c r="D135" s="170" t="s">
        <v>129</v>
      </c>
      <c r="E135" s="171" t="s">
        <v>214</v>
      </c>
      <c r="F135" s="172" t="s">
        <v>416</v>
      </c>
      <c r="G135" s="173" t="s">
        <v>136</v>
      </c>
      <c r="H135" s="174">
        <f>H137</f>
        <v>7065</v>
      </c>
      <c r="I135" s="174"/>
      <c r="J135" s="174">
        <f>ROUND(I135*H135,3)</f>
        <v>0</v>
      </c>
      <c r="K135" s="172" t="s">
        <v>156</v>
      </c>
      <c r="L135" s="176" t="s">
        <v>27</v>
      </c>
      <c r="M135" s="177">
        <v>8.0000000000000002E-3</v>
      </c>
      <c r="N135" s="177">
        <f>M135*H135</f>
        <v>56.52</v>
      </c>
      <c r="O135" s="177">
        <v>0</v>
      </c>
      <c r="P135" s="177">
        <f>O135*H135</f>
        <v>0</v>
      </c>
      <c r="Q135" s="177">
        <v>6.0000000000000001E-3</v>
      </c>
      <c r="R135" s="178">
        <f>Q135*H135</f>
        <v>42.39</v>
      </c>
      <c r="AO135" s="128" t="s">
        <v>197</v>
      </c>
      <c r="AQ135" s="128" t="s">
        <v>129</v>
      </c>
      <c r="AR135" s="128" t="s">
        <v>88</v>
      </c>
      <c r="AV135" s="128" t="s">
        <v>126</v>
      </c>
      <c r="BB135" s="138">
        <f>IF(L135="základná",J135,0)</f>
        <v>0</v>
      </c>
      <c r="BC135" s="138">
        <f>IF(L135="znížená",J135,0)</f>
        <v>0</v>
      </c>
      <c r="BD135" s="138">
        <f>IF(L135="zákl. prenesená",J135,0)</f>
        <v>0</v>
      </c>
      <c r="BE135" s="138">
        <f>IF(L135="zníž. prenesená",J135,0)</f>
        <v>0</v>
      </c>
      <c r="BF135" s="138">
        <f>IF(L135="nulová",J135,0)</f>
        <v>0</v>
      </c>
      <c r="BG135" s="128" t="s">
        <v>88</v>
      </c>
      <c r="BH135" s="166">
        <f>ROUND(I135*H135,3)</f>
        <v>0</v>
      </c>
      <c r="BI135" s="128" t="s">
        <v>197</v>
      </c>
      <c r="BJ135" s="128" t="s">
        <v>216</v>
      </c>
    </row>
    <row r="136" spans="2:62" s="26" customFormat="1" x14ac:dyDescent="0.25">
      <c r="B136" s="132"/>
      <c r="D136" s="179" t="s">
        <v>161</v>
      </c>
      <c r="E136" s="128" t="s">
        <v>9</v>
      </c>
      <c r="F136" s="143" t="s">
        <v>532</v>
      </c>
      <c r="H136" s="166">
        <f>2355*3</f>
        <v>7065</v>
      </c>
      <c r="R136" s="181"/>
      <c r="AQ136" s="128" t="s">
        <v>161</v>
      </c>
      <c r="AR136" s="128" t="s">
        <v>88</v>
      </c>
      <c r="AS136" s="26" t="s">
        <v>88</v>
      </c>
      <c r="AT136" s="26" t="s">
        <v>163</v>
      </c>
      <c r="AU136" s="26" t="s">
        <v>39</v>
      </c>
      <c r="AV136" s="128" t="s">
        <v>126</v>
      </c>
    </row>
    <row r="137" spans="2:62" s="26" customFormat="1" x14ac:dyDescent="0.25">
      <c r="B137" s="132"/>
      <c r="D137" s="179" t="s">
        <v>161</v>
      </c>
      <c r="E137" s="128" t="s">
        <v>9</v>
      </c>
      <c r="F137" s="143" t="s">
        <v>218</v>
      </c>
      <c r="H137" s="166">
        <f>SUM(H136:H136)</f>
        <v>7065</v>
      </c>
      <c r="R137" s="181"/>
      <c r="AQ137" s="128" t="s">
        <v>161</v>
      </c>
      <c r="AR137" s="128" t="s">
        <v>88</v>
      </c>
      <c r="AS137" s="26" t="s">
        <v>132</v>
      </c>
      <c r="AT137" s="26" t="s">
        <v>163</v>
      </c>
      <c r="AU137" s="26" t="s">
        <v>42</v>
      </c>
      <c r="AV137" s="128" t="s">
        <v>126</v>
      </c>
    </row>
    <row r="138" spans="2:62" s="26" customFormat="1" x14ac:dyDescent="0.25">
      <c r="B138" s="169"/>
      <c r="C138" s="170">
        <v>34</v>
      </c>
      <c r="D138" s="170" t="s">
        <v>129</v>
      </c>
      <c r="E138" s="171" t="s">
        <v>219</v>
      </c>
      <c r="F138" s="172" t="s">
        <v>220</v>
      </c>
      <c r="G138" s="173" t="s">
        <v>136</v>
      </c>
      <c r="H138" s="174">
        <v>1413</v>
      </c>
      <c r="I138" s="174"/>
      <c r="J138" s="174">
        <f>ROUND(I138*H138,3)</f>
        <v>0</v>
      </c>
      <c r="K138" s="172" t="s">
        <v>9</v>
      </c>
      <c r="L138" s="176" t="s">
        <v>27</v>
      </c>
      <c r="M138" s="177">
        <v>5.1999999999999998E-2</v>
      </c>
      <c r="N138" s="177">
        <f>M138*H138</f>
        <v>73.475999999999999</v>
      </c>
      <c r="O138" s="177">
        <v>0</v>
      </c>
      <c r="P138" s="177">
        <f>O138*H138</f>
        <v>0</v>
      </c>
      <c r="Q138" s="177">
        <v>2E-3</v>
      </c>
      <c r="R138" s="178">
        <f>Q138*H138</f>
        <v>2.8260000000000001</v>
      </c>
      <c r="AO138" s="128" t="s">
        <v>197</v>
      </c>
      <c r="AQ138" s="128" t="s">
        <v>129</v>
      </c>
      <c r="AR138" s="128" t="s">
        <v>88</v>
      </c>
      <c r="AV138" s="128" t="s">
        <v>126</v>
      </c>
      <c r="BB138" s="138">
        <f>IF(L138="základná",J138,0)</f>
        <v>0</v>
      </c>
      <c r="BC138" s="138">
        <f>IF(L138="znížená",J138,0)</f>
        <v>0</v>
      </c>
      <c r="BD138" s="138">
        <f>IF(L138="zákl. prenesená",J138,0)</f>
        <v>0</v>
      </c>
      <c r="BE138" s="138">
        <f>IF(L138="zníž. prenesená",J138,0)</f>
        <v>0</v>
      </c>
      <c r="BF138" s="138">
        <f>IF(L138="nulová",J138,0)</f>
        <v>0</v>
      </c>
      <c r="BG138" s="128" t="s">
        <v>88</v>
      </c>
      <c r="BH138" s="166">
        <f>ROUND(I138*H138,3)</f>
        <v>0</v>
      </c>
      <c r="BI138" s="128" t="s">
        <v>197</v>
      </c>
      <c r="BJ138" s="128" t="s">
        <v>221</v>
      </c>
    </row>
    <row r="139" spans="2:62" s="26" customFormat="1" x14ac:dyDescent="0.25">
      <c r="B139" s="169"/>
      <c r="C139" s="170">
        <v>35</v>
      </c>
      <c r="D139" s="170" t="s">
        <v>129</v>
      </c>
      <c r="E139" s="171" t="s">
        <v>219</v>
      </c>
      <c r="F139" s="172" t="s">
        <v>222</v>
      </c>
      <c r="G139" s="173" t="s">
        <v>136</v>
      </c>
      <c r="H139" s="174">
        <f>H133</f>
        <v>2863</v>
      </c>
      <c r="I139" s="174"/>
      <c r="J139" s="174">
        <f>ROUND(I139*H139,3)</f>
        <v>0</v>
      </c>
      <c r="K139" s="172" t="s">
        <v>9</v>
      </c>
      <c r="L139" s="176" t="s">
        <v>27</v>
      </c>
      <c r="M139" s="177">
        <v>5.1999999999999998E-2</v>
      </c>
      <c r="N139" s="177">
        <f>M139*H139</f>
        <v>148.876</v>
      </c>
      <c r="O139" s="177">
        <v>0</v>
      </c>
      <c r="P139" s="177">
        <f>O139*H139</f>
        <v>0</v>
      </c>
      <c r="Q139" s="177">
        <v>2E-3</v>
      </c>
      <c r="R139" s="178">
        <f>Q139*H139</f>
        <v>5.726</v>
      </c>
      <c r="AO139" s="128" t="s">
        <v>197</v>
      </c>
      <c r="AQ139" s="128" t="s">
        <v>129</v>
      </c>
      <c r="AR139" s="128" t="s">
        <v>88</v>
      </c>
      <c r="AV139" s="128" t="s">
        <v>126</v>
      </c>
      <c r="BB139" s="138">
        <f>IF(L139="základná",J139,0)</f>
        <v>0</v>
      </c>
      <c r="BC139" s="138">
        <f>IF(L139="znížená",J139,0)</f>
        <v>0</v>
      </c>
      <c r="BD139" s="138">
        <f>IF(L139="zákl. prenesená",J139,0)</f>
        <v>0</v>
      </c>
      <c r="BE139" s="138">
        <f>IF(L139="zníž. prenesená",J139,0)</f>
        <v>0</v>
      </c>
      <c r="BF139" s="138">
        <f>IF(L139="nulová",J139,0)</f>
        <v>0</v>
      </c>
      <c r="BG139" s="128" t="s">
        <v>88</v>
      </c>
      <c r="BH139" s="166">
        <f>ROUND(I139*H139,3)</f>
        <v>0</v>
      </c>
      <c r="BI139" s="128" t="s">
        <v>197</v>
      </c>
      <c r="BJ139" s="128" t="s">
        <v>221</v>
      </c>
    </row>
    <row r="140" spans="2:62" s="158" customFormat="1" ht="12.75" x14ac:dyDescent="0.2">
      <c r="B140" s="157"/>
      <c r="D140" s="159" t="s">
        <v>123</v>
      </c>
      <c r="E140" s="167" t="s">
        <v>223</v>
      </c>
      <c r="F140" s="167" t="s">
        <v>224</v>
      </c>
      <c r="J140" s="168">
        <f>SUM(J141:J147)</f>
        <v>0</v>
      </c>
      <c r="N140" s="163">
        <f>SUM(N142:N147)</f>
        <v>244.34909999999996</v>
      </c>
      <c r="P140" s="163">
        <f>SUM(P142:P147)</f>
        <v>0.31200000000000006</v>
      </c>
      <c r="R140" s="164">
        <f>SUM(R142:R147)</f>
        <v>10.1721</v>
      </c>
      <c r="AO140" s="159" t="s">
        <v>88</v>
      </c>
      <c r="AQ140" s="165" t="s">
        <v>123</v>
      </c>
      <c r="AR140" s="165" t="s">
        <v>42</v>
      </c>
      <c r="AV140" s="159" t="s">
        <v>126</v>
      </c>
      <c r="BH140" s="166">
        <f>SUM(BH142:BH147)</f>
        <v>0</v>
      </c>
    </row>
    <row r="141" spans="2:62" s="26" customFormat="1" x14ac:dyDescent="0.25">
      <c r="B141" s="169"/>
      <c r="C141" s="170">
        <v>36</v>
      </c>
      <c r="D141" s="170" t="s">
        <v>129</v>
      </c>
      <c r="E141" s="171" t="s">
        <v>228</v>
      </c>
      <c r="F141" s="172" t="s">
        <v>229</v>
      </c>
      <c r="G141" s="173" t="s">
        <v>230</v>
      </c>
      <c r="H141" s="174">
        <v>207.9</v>
      </c>
      <c r="I141" s="174"/>
      <c r="J141" s="174">
        <f t="shared" ref="J141:J147" si="11">ROUND(I141*H141,3)</f>
        <v>0</v>
      </c>
      <c r="K141" s="172" t="s">
        <v>9</v>
      </c>
      <c r="L141" s="176" t="s">
        <v>27</v>
      </c>
      <c r="M141" s="177">
        <v>7.4999999999999997E-2</v>
      </c>
      <c r="N141" s="177">
        <f t="shared" ref="N141:N147" si="12">M141*H141</f>
        <v>15.592499999999999</v>
      </c>
      <c r="O141" s="177">
        <v>0</v>
      </c>
      <c r="P141" s="177">
        <f t="shared" ref="P141:P147" si="13">O141*H141</f>
        <v>0</v>
      </c>
      <c r="Q141" s="177">
        <v>2.5200000000000001E-3</v>
      </c>
      <c r="R141" s="178">
        <f t="shared" ref="R141:R147" si="14">Q141*H141</f>
        <v>0.52390800000000004</v>
      </c>
      <c r="AO141" s="128" t="s">
        <v>197</v>
      </c>
      <c r="AQ141" s="128" t="s">
        <v>129</v>
      </c>
      <c r="AR141" s="128" t="s">
        <v>88</v>
      </c>
      <c r="AV141" s="128" t="s">
        <v>126</v>
      </c>
      <c r="BB141" s="138">
        <f t="shared" ref="BB141:BB147" si="15">IF(L141="základná",J141,0)</f>
        <v>0</v>
      </c>
      <c r="BC141" s="138">
        <f t="shared" ref="BC141:BC147" si="16">IF(L141="znížená",J141,0)</f>
        <v>0</v>
      </c>
      <c r="BD141" s="138">
        <f t="shared" ref="BD141:BD147" si="17">IF(L141="zákl. prenesená",J141,0)</f>
        <v>0</v>
      </c>
      <c r="BE141" s="138">
        <f t="shared" ref="BE141:BE147" si="18">IF(L141="zníž. prenesená",J141,0)</f>
        <v>0</v>
      </c>
      <c r="BF141" s="138">
        <f t="shared" ref="BF141:BF147" si="19">IF(L141="nulová",J141,0)</f>
        <v>0</v>
      </c>
      <c r="BG141" s="128" t="s">
        <v>88</v>
      </c>
      <c r="BH141" s="166">
        <f t="shared" ref="BH141:BH147" si="20">ROUND(I141*H141,3)</f>
        <v>0</v>
      </c>
      <c r="BI141" s="128" t="s">
        <v>197</v>
      </c>
      <c r="BJ141" s="128" t="s">
        <v>231</v>
      </c>
    </row>
    <row r="142" spans="2:62" s="26" customFormat="1" x14ac:dyDescent="0.25">
      <c r="B142" s="169"/>
      <c r="C142" s="170">
        <v>37</v>
      </c>
      <c r="D142" s="170" t="s">
        <v>129</v>
      </c>
      <c r="E142" s="171" t="s">
        <v>533</v>
      </c>
      <c r="F142" s="172" t="s">
        <v>534</v>
      </c>
      <c r="G142" s="173" t="s">
        <v>230</v>
      </c>
      <c r="H142" s="174">
        <v>78</v>
      </c>
      <c r="I142" s="174"/>
      <c r="J142" s="174">
        <f t="shared" si="11"/>
        <v>0</v>
      </c>
      <c r="K142" s="172" t="s">
        <v>9</v>
      </c>
      <c r="L142" s="176" t="s">
        <v>27</v>
      </c>
      <c r="M142" s="177">
        <v>0.13300000000000001</v>
      </c>
      <c r="N142" s="177">
        <f t="shared" si="12"/>
        <v>10.374000000000001</v>
      </c>
      <c r="O142" s="177">
        <v>0</v>
      </c>
      <c r="P142" s="177">
        <f t="shared" si="13"/>
        <v>0</v>
      </c>
      <c r="Q142" s="177">
        <v>8.2000000000000007E-3</v>
      </c>
      <c r="R142" s="178">
        <f t="shared" si="14"/>
        <v>0.63960000000000006</v>
      </c>
      <c r="AO142" s="128" t="s">
        <v>197</v>
      </c>
      <c r="AQ142" s="128" t="s">
        <v>129</v>
      </c>
      <c r="AR142" s="128" t="s">
        <v>88</v>
      </c>
      <c r="AV142" s="128" t="s">
        <v>126</v>
      </c>
      <c r="BB142" s="138">
        <f t="shared" si="15"/>
        <v>0</v>
      </c>
      <c r="BC142" s="138">
        <f t="shared" si="16"/>
        <v>0</v>
      </c>
      <c r="BD142" s="138">
        <f t="shared" si="17"/>
        <v>0</v>
      </c>
      <c r="BE142" s="138">
        <f t="shared" si="18"/>
        <v>0</v>
      </c>
      <c r="BF142" s="138">
        <f t="shared" si="19"/>
        <v>0</v>
      </c>
      <c r="BG142" s="128" t="s">
        <v>88</v>
      </c>
      <c r="BH142" s="166">
        <f t="shared" si="20"/>
        <v>0</v>
      </c>
      <c r="BI142" s="128" t="s">
        <v>197</v>
      </c>
      <c r="BJ142" s="128" t="s">
        <v>535</v>
      </c>
    </row>
    <row r="143" spans="2:62" s="26" customFormat="1" x14ac:dyDescent="0.25">
      <c r="B143" s="169"/>
      <c r="C143" s="170">
        <v>38</v>
      </c>
      <c r="D143" s="170" t="s">
        <v>129</v>
      </c>
      <c r="E143" s="171" t="s">
        <v>225</v>
      </c>
      <c r="F143" s="172" t="s">
        <v>226</v>
      </c>
      <c r="G143" s="173" t="s">
        <v>205</v>
      </c>
      <c r="H143" s="174">
        <v>175</v>
      </c>
      <c r="I143" s="174"/>
      <c r="J143" s="174">
        <f t="shared" si="11"/>
        <v>0</v>
      </c>
      <c r="K143" s="172" t="s">
        <v>9</v>
      </c>
      <c r="L143" s="176" t="s">
        <v>27</v>
      </c>
      <c r="M143" s="177">
        <v>0.50117999999999996</v>
      </c>
      <c r="N143" s="177">
        <f t="shared" si="12"/>
        <v>87.706499999999991</v>
      </c>
      <c r="O143" s="177">
        <v>1.6000000000000001E-3</v>
      </c>
      <c r="P143" s="177">
        <f t="shared" si="13"/>
        <v>0.28000000000000003</v>
      </c>
      <c r="Q143" s="177">
        <v>0</v>
      </c>
      <c r="R143" s="178">
        <f t="shared" si="14"/>
        <v>0</v>
      </c>
      <c r="AO143" s="128" t="s">
        <v>197</v>
      </c>
      <c r="AQ143" s="128" t="s">
        <v>129</v>
      </c>
      <c r="AR143" s="128" t="s">
        <v>88</v>
      </c>
      <c r="AV143" s="128" t="s">
        <v>126</v>
      </c>
      <c r="BB143" s="138">
        <f t="shared" si="15"/>
        <v>0</v>
      </c>
      <c r="BC143" s="138">
        <f t="shared" si="16"/>
        <v>0</v>
      </c>
      <c r="BD143" s="138">
        <f t="shared" si="17"/>
        <v>0</v>
      </c>
      <c r="BE143" s="138">
        <f t="shared" si="18"/>
        <v>0</v>
      </c>
      <c r="BF143" s="138">
        <f t="shared" si="19"/>
        <v>0</v>
      </c>
      <c r="BG143" s="128" t="s">
        <v>88</v>
      </c>
      <c r="BH143" s="166">
        <f t="shared" si="20"/>
        <v>0</v>
      </c>
      <c r="BI143" s="128" t="s">
        <v>197</v>
      </c>
      <c r="BJ143" s="128" t="s">
        <v>227</v>
      </c>
    </row>
    <row r="144" spans="2:62" s="26" customFormat="1" x14ac:dyDescent="0.25">
      <c r="B144" s="169"/>
      <c r="C144" s="170">
        <v>39</v>
      </c>
      <c r="D144" s="170" t="s">
        <v>129</v>
      </c>
      <c r="E144" s="171" t="s">
        <v>232</v>
      </c>
      <c r="F144" s="172" t="s">
        <v>233</v>
      </c>
      <c r="G144" s="173" t="s">
        <v>234</v>
      </c>
      <c r="H144" s="174">
        <v>465</v>
      </c>
      <c r="I144" s="174"/>
      <c r="J144" s="174">
        <f t="shared" si="11"/>
        <v>0</v>
      </c>
      <c r="K144" s="172" t="s">
        <v>9</v>
      </c>
      <c r="L144" s="176" t="s">
        <v>27</v>
      </c>
      <c r="M144" s="177">
        <v>0.29299999999999998</v>
      </c>
      <c r="N144" s="177">
        <f t="shared" si="12"/>
        <v>136.245</v>
      </c>
      <c r="O144" s="177">
        <v>0</v>
      </c>
      <c r="P144" s="177">
        <f t="shared" si="13"/>
        <v>0</v>
      </c>
      <c r="Q144" s="177">
        <v>2.0500000000000001E-2</v>
      </c>
      <c r="R144" s="178">
        <f t="shared" si="14"/>
        <v>9.5325000000000006</v>
      </c>
      <c r="AO144" s="128" t="s">
        <v>197</v>
      </c>
      <c r="AQ144" s="128" t="s">
        <v>129</v>
      </c>
      <c r="AR144" s="128" t="s">
        <v>88</v>
      </c>
      <c r="AV144" s="128" t="s">
        <v>126</v>
      </c>
      <c r="BB144" s="138">
        <f t="shared" si="15"/>
        <v>0</v>
      </c>
      <c r="BC144" s="138">
        <f t="shared" si="16"/>
        <v>0</v>
      </c>
      <c r="BD144" s="138">
        <f t="shared" si="17"/>
        <v>0</v>
      </c>
      <c r="BE144" s="138">
        <f t="shared" si="18"/>
        <v>0</v>
      </c>
      <c r="BF144" s="138">
        <f t="shared" si="19"/>
        <v>0</v>
      </c>
      <c r="BG144" s="128" t="s">
        <v>88</v>
      </c>
      <c r="BH144" s="166">
        <f t="shared" si="20"/>
        <v>0</v>
      </c>
      <c r="BI144" s="128" t="s">
        <v>197</v>
      </c>
      <c r="BJ144" s="128" t="s">
        <v>235</v>
      </c>
    </row>
    <row r="145" spans="2:65" s="26" customFormat="1" ht="16.5" customHeight="1" x14ac:dyDescent="0.25">
      <c r="B145" s="169"/>
      <c r="C145" s="170">
        <v>40</v>
      </c>
      <c r="D145" s="170" t="s">
        <v>129</v>
      </c>
      <c r="E145" s="171" t="s">
        <v>239</v>
      </c>
      <c r="F145" s="172" t="s">
        <v>240</v>
      </c>
      <c r="G145" s="173" t="s">
        <v>205</v>
      </c>
      <c r="H145" s="174">
        <v>16</v>
      </c>
      <c r="I145" s="174"/>
      <c r="J145" s="174">
        <f t="shared" si="11"/>
        <v>0</v>
      </c>
      <c r="K145" s="172" t="s">
        <v>9</v>
      </c>
      <c r="L145" s="176" t="s">
        <v>27</v>
      </c>
      <c r="M145" s="177">
        <v>0.50117999999999996</v>
      </c>
      <c r="N145" s="177">
        <f t="shared" si="12"/>
        <v>8.0188799999999993</v>
      </c>
      <c r="O145" s="177">
        <v>1.6000000000000001E-3</v>
      </c>
      <c r="P145" s="177">
        <f t="shared" si="13"/>
        <v>2.5600000000000001E-2</v>
      </c>
      <c r="Q145" s="177">
        <v>0</v>
      </c>
      <c r="R145" s="178">
        <f t="shared" si="14"/>
        <v>0</v>
      </c>
      <c r="AO145" s="128" t="s">
        <v>197</v>
      </c>
      <c r="AQ145" s="128" t="s">
        <v>129</v>
      </c>
      <c r="AR145" s="128" t="s">
        <v>88</v>
      </c>
      <c r="AV145" s="128" t="s">
        <v>126</v>
      </c>
      <c r="BB145" s="138">
        <f t="shared" si="15"/>
        <v>0</v>
      </c>
      <c r="BC145" s="138">
        <f t="shared" si="16"/>
        <v>0</v>
      </c>
      <c r="BD145" s="138">
        <f t="shared" si="17"/>
        <v>0</v>
      </c>
      <c r="BE145" s="138">
        <f t="shared" si="18"/>
        <v>0</v>
      </c>
      <c r="BF145" s="138">
        <f t="shared" si="19"/>
        <v>0</v>
      </c>
      <c r="BG145" s="128" t="s">
        <v>88</v>
      </c>
      <c r="BH145" s="166">
        <f t="shared" si="20"/>
        <v>0</v>
      </c>
      <c r="BI145" s="128" t="s">
        <v>197</v>
      </c>
      <c r="BJ145" s="128" t="s">
        <v>241</v>
      </c>
    </row>
    <row r="146" spans="2:65" s="26" customFormat="1" ht="16.5" customHeight="1" x14ac:dyDescent="0.25">
      <c r="B146" s="169"/>
      <c r="C146" s="170" t="s">
        <v>536</v>
      </c>
      <c r="D146" s="170" t="s">
        <v>129</v>
      </c>
      <c r="E146" s="171" t="s">
        <v>237</v>
      </c>
      <c r="F146" s="172" t="s">
        <v>238</v>
      </c>
      <c r="G146" s="173" t="s">
        <v>230</v>
      </c>
      <c r="H146" s="174">
        <v>229</v>
      </c>
      <c r="I146" s="174"/>
      <c r="J146" s="174">
        <f t="shared" si="11"/>
        <v>0</v>
      </c>
      <c r="K146" s="172"/>
      <c r="L146" s="132"/>
      <c r="M146" s="175"/>
      <c r="N146" s="176"/>
      <c r="O146" s="177"/>
      <c r="P146" s="177"/>
      <c r="Q146" s="177"/>
      <c r="R146" s="177"/>
      <c r="S146" s="177"/>
      <c r="T146" s="178"/>
      <c r="AR146" s="128"/>
      <c r="AT146" s="128"/>
      <c r="AU146" s="128"/>
      <c r="AY146" s="128"/>
      <c r="BE146" s="138"/>
      <c r="BF146" s="138"/>
      <c r="BG146" s="138"/>
      <c r="BH146" s="138"/>
      <c r="BI146" s="138"/>
      <c r="BJ146" s="128"/>
      <c r="BK146" s="166"/>
      <c r="BL146" s="128"/>
      <c r="BM146" s="128"/>
    </row>
    <row r="147" spans="2:65" s="26" customFormat="1" ht="16.5" customHeight="1" x14ac:dyDescent="0.25">
      <c r="B147" s="169"/>
      <c r="C147" s="170">
        <v>41</v>
      </c>
      <c r="D147" s="170" t="s">
        <v>129</v>
      </c>
      <c r="E147" s="171" t="s">
        <v>203</v>
      </c>
      <c r="F147" s="172" t="s">
        <v>204</v>
      </c>
      <c r="G147" s="173" t="s">
        <v>205</v>
      </c>
      <c r="H147" s="174">
        <v>4</v>
      </c>
      <c r="I147" s="174"/>
      <c r="J147" s="174">
        <f t="shared" si="11"/>
        <v>0</v>
      </c>
      <c r="K147" s="172" t="s">
        <v>9</v>
      </c>
      <c r="L147" s="176" t="s">
        <v>27</v>
      </c>
      <c r="M147" s="177">
        <v>0.50117999999999996</v>
      </c>
      <c r="N147" s="177">
        <f t="shared" si="12"/>
        <v>2.0047199999999998</v>
      </c>
      <c r="O147" s="177">
        <v>1.6000000000000001E-3</v>
      </c>
      <c r="P147" s="177">
        <f t="shared" si="13"/>
        <v>6.4000000000000003E-3</v>
      </c>
      <c r="Q147" s="177">
        <v>0</v>
      </c>
      <c r="R147" s="178">
        <f t="shared" si="14"/>
        <v>0</v>
      </c>
      <c r="AO147" s="128" t="s">
        <v>197</v>
      </c>
      <c r="AQ147" s="128" t="s">
        <v>129</v>
      </c>
      <c r="AR147" s="128" t="s">
        <v>88</v>
      </c>
      <c r="AV147" s="128" t="s">
        <v>126</v>
      </c>
      <c r="BB147" s="138">
        <f t="shared" si="15"/>
        <v>0</v>
      </c>
      <c r="BC147" s="138">
        <f t="shared" si="16"/>
        <v>0</v>
      </c>
      <c r="BD147" s="138">
        <f t="shared" si="17"/>
        <v>0</v>
      </c>
      <c r="BE147" s="138">
        <f t="shared" si="18"/>
        <v>0</v>
      </c>
      <c r="BF147" s="138">
        <f t="shared" si="19"/>
        <v>0</v>
      </c>
      <c r="BG147" s="128" t="s">
        <v>88</v>
      </c>
      <c r="BH147" s="166">
        <f t="shared" si="20"/>
        <v>0</v>
      </c>
      <c r="BI147" s="128" t="s">
        <v>197</v>
      </c>
      <c r="BJ147" s="128" t="s">
        <v>206</v>
      </c>
    </row>
    <row r="148" spans="2:65" s="158" customFormat="1" ht="22.9" customHeight="1" x14ac:dyDescent="0.2">
      <c r="B148" s="157"/>
      <c r="D148" s="159" t="s">
        <v>123</v>
      </c>
      <c r="E148" s="167" t="s">
        <v>242</v>
      </c>
      <c r="F148" s="167" t="s">
        <v>243</v>
      </c>
      <c r="J148" s="168">
        <f>SUM(J149)</f>
        <v>0</v>
      </c>
      <c r="N148" s="163">
        <f>N149</f>
        <v>18.911199999999997</v>
      </c>
      <c r="P148" s="163">
        <f>P149</f>
        <v>1.925E-2</v>
      </c>
      <c r="R148" s="164">
        <f>R149</f>
        <v>0.38500000000000001</v>
      </c>
      <c r="AO148" s="159" t="s">
        <v>88</v>
      </c>
      <c r="AQ148" s="165" t="s">
        <v>123</v>
      </c>
      <c r="AR148" s="165" t="s">
        <v>42</v>
      </c>
      <c r="AV148" s="159" t="s">
        <v>126</v>
      </c>
      <c r="BH148" s="166">
        <f>BH149</f>
        <v>0</v>
      </c>
    </row>
    <row r="149" spans="2:65" s="26" customFormat="1" ht="16.5" customHeight="1" x14ac:dyDescent="0.25">
      <c r="B149" s="169"/>
      <c r="C149" s="170">
        <v>42</v>
      </c>
      <c r="D149" s="170" t="s">
        <v>129</v>
      </c>
      <c r="E149" s="171" t="s">
        <v>244</v>
      </c>
      <c r="F149" s="172" t="s">
        <v>245</v>
      </c>
      <c r="G149" s="173" t="s">
        <v>86</v>
      </c>
      <c r="H149" s="174">
        <v>385</v>
      </c>
      <c r="I149" s="174"/>
      <c r="J149" s="174">
        <f>ROUND(I149*H149,3)</f>
        <v>0</v>
      </c>
      <c r="K149" s="172" t="s">
        <v>156</v>
      </c>
      <c r="L149" s="184" t="s">
        <v>27</v>
      </c>
      <c r="M149" s="185">
        <v>4.9119999999999997E-2</v>
      </c>
      <c r="N149" s="185">
        <f>M149*H149</f>
        <v>18.911199999999997</v>
      </c>
      <c r="O149" s="185">
        <v>5.0000000000000002E-5</v>
      </c>
      <c r="P149" s="185">
        <f>O149*H149</f>
        <v>1.925E-2</v>
      </c>
      <c r="Q149" s="185">
        <v>1E-3</v>
      </c>
      <c r="R149" s="186">
        <f>Q149*H149</f>
        <v>0.38500000000000001</v>
      </c>
      <c r="AO149" s="128" t="s">
        <v>197</v>
      </c>
      <c r="AQ149" s="128" t="s">
        <v>129</v>
      </c>
      <c r="AR149" s="128" t="s">
        <v>88</v>
      </c>
      <c r="AV149" s="128" t="s">
        <v>126</v>
      </c>
      <c r="BB149" s="138">
        <f>IF(L149="základná",J149,0)</f>
        <v>0</v>
      </c>
      <c r="BC149" s="138">
        <f>IF(L149="znížená",J149,0)</f>
        <v>0</v>
      </c>
      <c r="BD149" s="138">
        <f>IF(L149="zákl. prenesená",J149,0)</f>
        <v>0</v>
      </c>
      <c r="BE149" s="138">
        <f>IF(L149="zníž. prenesená",J149,0)</f>
        <v>0</v>
      </c>
      <c r="BF149" s="138">
        <f>IF(L149="nulová",J149,0)</f>
        <v>0</v>
      </c>
      <c r="BG149" s="128" t="s">
        <v>88</v>
      </c>
      <c r="BH149" s="166">
        <f>ROUND(I149*H149,3)</f>
        <v>0</v>
      </c>
      <c r="BI149" s="128" t="s">
        <v>197</v>
      </c>
      <c r="BJ149" s="128" t="s">
        <v>246</v>
      </c>
    </row>
    <row r="150" spans="2:65" s="26" customFormat="1" ht="6.95" customHeight="1" x14ac:dyDescent="0.25">
      <c r="B150" s="141"/>
      <c r="C150" s="36"/>
      <c r="D150" s="36"/>
      <c r="E150" s="36"/>
      <c r="F150" s="36"/>
      <c r="G150" s="36"/>
      <c r="H150" s="36"/>
      <c r="I150" s="36"/>
      <c r="J150" s="36"/>
      <c r="K150" s="36"/>
    </row>
  </sheetData>
  <mergeCells count="9">
    <mergeCell ref="E50:H50"/>
    <mergeCell ref="E76:H76"/>
    <mergeCell ref="E78:H78"/>
    <mergeCell ref="L2:S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opLeftCell="A79" workbookViewId="0">
      <selection activeCell="J89" sqref="J89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41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61</v>
      </c>
      <c r="AZ2" s="128" t="s">
        <v>85</v>
      </c>
      <c r="BA2" s="128" t="s">
        <v>86</v>
      </c>
      <c r="BB2" s="128" t="s">
        <v>9</v>
      </c>
      <c r="BC2" s="128" t="s">
        <v>537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89</v>
      </c>
      <c r="BA3" s="128" t="s">
        <v>90</v>
      </c>
      <c r="BB3" s="128" t="s">
        <v>9</v>
      </c>
      <c r="BC3" s="128" t="s">
        <v>538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90</v>
      </c>
      <c r="BA4" s="128" t="s">
        <v>94</v>
      </c>
      <c r="BB4" s="128" t="s">
        <v>9</v>
      </c>
      <c r="BC4" s="128" t="s">
        <v>539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60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ROUND((SUM(BE86:BE141)),  2)</f>
        <v>0</v>
      </c>
      <c r="I33" s="139">
        <v>0.2</v>
      </c>
      <c r="J33" s="138">
        <f>ROUND(((SUM(BE86:BE141))*I33),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ROUND((SUM(BF86:BF141)),  2)</f>
        <v>0</v>
      </c>
      <c r="I34" s="139">
        <v>0.2</v>
      </c>
      <c r="J34" s="138">
        <f>ROUND(((SUM(BF86:BF141))*I34),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ROUND((SUM(BG86:BG141)),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ROUND((SUM(BH86:BH141)),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ROUND((SUM(BI86:BI141)),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F- demontáž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J122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J123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J134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J140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540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J87+J122</f>
        <v>0</v>
      </c>
      <c r="L86" s="132"/>
      <c r="M86" s="153"/>
      <c r="N86" s="134"/>
      <c r="O86" s="134"/>
      <c r="P86" s="154">
        <f>P87+P122</f>
        <v>1479.3483972200002</v>
      </c>
      <c r="Q86" s="134"/>
      <c r="R86" s="154">
        <f>R87+R122</f>
        <v>25.203154660000003</v>
      </c>
      <c r="S86" s="134"/>
      <c r="T86" s="155">
        <f>T87+T122</f>
        <v>6.165</v>
      </c>
      <c r="AT86" s="128" t="s">
        <v>123</v>
      </c>
      <c r="AU86" s="128" t="s">
        <v>101</v>
      </c>
      <c r="BK86" s="156">
        <f>BK87+BK122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>
        <f>P88+P91</f>
        <v>1479.3483972200002</v>
      </c>
      <c r="R87" s="163">
        <f>R88+R91</f>
        <v>25.203154660000003</v>
      </c>
      <c r="T87" s="164">
        <f>T88+T91</f>
        <v>6.165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BK88</f>
        <v>0</v>
      </c>
      <c r="L88" s="157"/>
      <c r="M88" s="162"/>
      <c r="P88" s="163">
        <f>SUM(P89:P90)</f>
        <v>523.60590721999995</v>
      </c>
      <c r="R88" s="163">
        <f>SUM(R89:R90)</f>
        <v>25.203154660000003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434*1.1*0.1*1.15</f>
        <v>54.901000000000003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23.564607219999999</v>
      </c>
      <c r="Q89" s="177">
        <v>2.0660000000000001E-2</v>
      </c>
      <c r="R89" s="177">
        <f>Q89*H89</f>
        <v>1.1342546600000001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1165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500.04129999999998</v>
      </c>
      <c r="Q90" s="177">
        <v>2.0660000000000001E-2</v>
      </c>
      <c r="R90" s="177">
        <f>Q90*H90</f>
        <v>24.068900000000003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SUM(J92:J120)</f>
        <v>0</v>
      </c>
      <c r="L91" s="157"/>
      <c r="M91" s="162"/>
      <c r="P91" s="163">
        <f>SUM(P92:P121)</f>
        <v>955.74249000000032</v>
      </c>
      <c r="R91" s="163">
        <f>SUM(R92:R121)</f>
        <v>0</v>
      </c>
      <c r="T91" s="164">
        <f>SUM(T92:T121)</f>
        <v>6.165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SUM(BK92:BK121)</f>
        <v>0</v>
      </c>
    </row>
    <row r="92" spans="2:65" s="26" customFormat="1" ht="16.5" customHeight="1" x14ac:dyDescent="0.25">
      <c r="B92" s="169"/>
      <c r="C92" s="170" t="s">
        <v>140</v>
      </c>
      <c r="D92" s="170" t="s">
        <v>129</v>
      </c>
      <c r="E92" s="171" t="s">
        <v>141</v>
      </c>
      <c r="F92" s="172" t="s">
        <v>142</v>
      </c>
      <c r="G92" s="173" t="s">
        <v>136</v>
      </c>
      <c r="H92" s="174">
        <v>137</v>
      </c>
      <c r="I92" s="174"/>
      <c r="J92" s="174">
        <f>ROUND(I92*H92,3)</f>
        <v>0</v>
      </c>
      <c r="K92" s="172" t="s">
        <v>9</v>
      </c>
      <c r="L92" s="132"/>
      <c r="M92" s="175" t="s">
        <v>9</v>
      </c>
      <c r="N92" s="176" t="s">
        <v>27</v>
      </c>
      <c r="O92" s="177">
        <v>0.13400000000000001</v>
      </c>
      <c r="P92" s="177">
        <f>O92*H92</f>
        <v>18.358000000000001</v>
      </c>
      <c r="Q92" s="177">
        <v>0</v>
      </c>
      <c r="R92" s="177">
        <f>Q92*H92</f>
        <v>0</v>
      </c>
      <c r="S92" s="177">
        <v>4.4999999999999998E-2</v>
      </c>
      <c r="T92" s="178">
        <f>S92*H92</f>
        <v>6.165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143</v>
      </c>
    </row>
    <row r="93" spans="2:65" s="26" customFormat="1" ht="16.5" customHeight="1" x14ac:dyDescent="0.25">
      <c r="B93" s="169"/>
      <c r="C93" s="170" t="s">
        <v>132</v>
      </c>
      <c r="D93" s="170" t="s">
        <v>129</v>
      </c>
      <c r="E93" s="171" t="s">
        <v>144</v>
      </c>
      <c r="F93" s="172" t="s">
        <v>145</v>
      </c>
      <c r="G93" s="173" t="s">
        <v>146</v>
      </c>
      <c r="H93" s="174">
        <f>H98+H106+H113</f>
        <v>168.65500000000003</v>
      </c>
      <c r="I93" s="174"/>
      <c r="J93" s="174">
        <f>ROUND(I93*H93,3)</f>
        <v>0</v>
      </c>
      <c r="K93" s="172" t="s">
        <v>9</v>
      </c>
      <c r="L93" s="132"/>
      <c r="M93" s="175" t="s">
        <v>9</v>
      </c>
      <c r="N93" s="176" t="s">
        <v>27</v>
      </c>
      <c r="O93" s="177">
        <v>0.89</v>
      </c>
      <c r="P93" s="177">
        <f>O93*H93</f>
        <v>150.10295000000002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147</v>
      </c>
    </row>
    <row r="94" spans="2:65" s="26" customFormat="1" ht="16.5" customHeight="1" x14ac:dyDescent="0.25">
      <c r="B94" s="169"/>
      <c r="C94" s="170">
        <v>5</v>
      </c>
      <c r="D94" s="170"/>
      <c r="E94" s="171" t="s">
        <v>148</v>
      </c>
      <c r="F94" s="172" t="s">
        <v>149</v>
      </c>
      <c r="G94" s="173" t="s">
        <v>146</v>
      </c>
      <c r="H94" s="174">
        <f>H93*10</f>
        <v>1686.5500000000002</v>
      </c>
      <c r="I94" s="174"/>
      <c r="J94" s="174">
        <f t="shared" ref="J94:J96" si="0">ROUND(I94*H94,3)</f>
        <v>0</v>
      </c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/>
      <c r="BL94" s="128"/>
      <c r="BM94" s="128"/>
    </row>
    <row r="95" spans="2:65" s="26" customFormat="1" ht="16.5" customHeight="1" x14ac:dyDescent="0.25">
      <c r="B95" s="169"/>
      <c r="C95" s="170"/>
      <c r="D95" s="170"/>
      <c r="E95" s="171"/>
      <c r="F95" s="172" t="s">
        <v>150</v>
      </c>
      <c r="H95" s="174"/>
      <c r="I95" s="174"/>
      <c r="J95" s="174">
        <f t="shared" si="0"/>
        <v>0</v>
      </c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16.5" customHeight="1" x14ac:dyDescent="0.25">
      <c r="B96" s="169"/>
      <c r="C96" s="170">
        <v>6</v>
      </c>
      <c r="D96" s="170"/>
      <c r="E96" s="171" t="s">
        <v>151</v>
      </c>
      <c r="F96" s="172" t="s">
        <v>152</v>
      </c>
      <c r="G96" s="173" t="s">
        <v>153</v>
      </c>
      <c r="H96" s="174">
        <v>1</v>
      </c>
      <c r="I96" s="174"/>
      <c r="J96" s="174">
        <f t="shared" si="0"/>
        <v>0</v>
      </c>
      <c r="K96" s="172"/>
      <c r="L96" s="132"/>
      <c r="M96" s="175"/>
      <c r="N96" s="176"/>
      <c r="O96" s="177"/>
      <c r="P96" s="177"/>
      <c r="Q96" s="177"/>
      <c r="R96" s="177"/>
      <c r="S96" s="177"/>
      <c r="T96" s="178"/>
      <c r="AR96" s="128"/>
      <c r="AT96" s="128"/>
      <c r="AU96" s="128"/>
      <c r="AY96" s="128"/>
      <c r="BE96" s="138"/>
      <c r="BF96" s="138"/>
      <c r="BG96" s="138"/>
      <c r="BH96" s="138"/>
      <c r="BI96" s="138"/>
      <c r="BJ96" s="128"/>
      <c r="BK96" s="166">
        <f>ROUND(I96*H96,3)</f>
        <v>0</v>
      </c>
      <c r="BL96" s="128"/>
      <c r="BM96" s="128"/>
    </row>
    <row r="97" spans="2:65" s="26" customFormat="1" ht="16.5" customHeight="1" x14ac:dyDescent="0.25">
      <c r="B97" s="169"/>
      <c r="C97" s="170">
        <v>7</v>
      </c>
      <c r="D97" s="170" t="s">
        <v>129</v>
      </c>
      <c r="E97" s="171" t="s">
        <v>154</v>
      </c>
      <c r="F97" s="172" t="s">
        <v>155</v>
      </c>
      <c r="G97" s="173" t="s">
        <v>146</v>
      </c>
      <c r="H97" s="174">
        <v>54.414000000000001</v>
      </c>
      <c r="I97" s="174"/>
      <c r="J97" s="174">
        <f>ROUND(I97*H97,3)</f>
        <v>0</v>
      </c>
      <c r="K97" s="172" t="s">
        <v>156</v>
      </c>
      <c r="L97" s="132"/>
      <c r="M97" s="175" t="s">
        <v>9</v>
      </c>
      <c r="N97" s="176" t="s">
        <v>27</v>
      </c>
      <c r="O97" s="177">
        <v>0</v>
      </c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157</v>
      </c>
    </row>
    <row r="98" spans="2:65" s="26" customFormat="1" ht="16.5" customHeight="1" x14ac:dyDescent="0.25">
      <c r="B98" s="169"/>
      <c r="C98" s="170">
        <v>8</v>
      </c>
      <c r="D98" s="170" t="s">
        <v>129</v>
      </c>
      <c r="E98" s="171" t="s">
        <v>158</v>
      </c>
      <c r="F98" s="172" t="s">
        <v>159</v>
      </c>
      <c r="G98" s="173" t="s">
        <v>146</v>
      </c>
      <c r="H98" s="174">
        <v>54.414000000000001</v>
      </c>
      <c r="I98" s="174"/>
      <c r="J98" s="174">
        <f>ROUND(I98*H98,3)</f>
        <v>0</v>
      </c>
      <c r="K98" s="172" t="s">
        <v>9</v>
      </c>
      <c r="L98" s="132"/>
      <c r="M98" s="175" t="s">
        <v>9</v>
      </c>
      <c r="N98" s="176" t="s">
        <v>27</v>
      </c>
      <c r="O98" s="177">
        <v>0.88200000000000001</v>
      </c>
      <c r="P98" s="177">
        <f>O98*H98</f>
        <v>47.993148000000005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28" t="s">
        <v>132</v>
      </c>
      <c r="AT98" s="128" t="s">
        <v>129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132</v>
      </c>
      <c r="BM98" s="128" t="s">
        <v>160</v>
      </c>
    </row>
    <row r="99" spans="2:65" s="26" customFormat="1" x14ac:dyDescent="0.25">
      <c r="B99" s="132"/>
      <c r="D99" s="179" t="s">
        <v>161</v>
      </c>
      <c r="E99" s="128" t="s">
        <v>9</v>
      </c>
      <c r="F99" s="143" t="s">
        <v>162</v>
      </c>
      <c r="H99" s="166">
        <v>54.414000000000001</v>
      </c>
      <c r="L99" s="132"/>
      <c r="M99" s="180"/>
      <c r="T99" s="181"/>
      <c r="AT99" s="128" t="s">
        <v>161</v>
      </c>
      <c r="AU99" s="128" t="s">
        <v>88</v>
      </c>
      <c r="AV99" s="26" t="s">
        <v>88</v>
      </c>
      <c r="AW99" s="26" t="s">
        <v>163</v>
      </c>
      <c r="AX99" s="26" t="s">
        <v>42</v>
      </c>
      <c r="AY99" s="128" t="s">
        <v>126</v>
      </c>
    </row>
    <row r="100" spans="2:65" s="26" customFormat="1" ht="16.5" customHeight="1" x14ac:dyDescent="0.25">
      <c r="B100" s="169"/>
      <c r="C100" s="170">
        <v>9</v>
      </c>
      <c r="D100" s="170" t="s">
        <v>129</v>
      </c>
      <c r="E100" s="171" t="s">
        <v>164</v>
      </c>
      <c r="F100" s="172" t="s">
        <v>165</v>
      </c>
      <c r="G100" s="173" t="s">
        <v>146</v>
      </c>
      <c r="H100" s="174">
        <v>272.07</v>
      </c>
      <c r="I100" s="174"/>
      <c r="J100" s="174">
        <f>ROUND(I100*H100,3)</f>
        <v>0</v>
      </c>
      <c r="K100" s="172" t="s">
        <v>156</v>
      </c>
      <c r="L100" s="132"/>
      <c r="M100" s="175" t="s">
        <v>9</v>
      </c>
      <c r="N100" s="176" t="s">
        <v>27</v>
      </c>
      <c r="O100" s="177">
        <v>0.61799999999999999</v>
      </c>
      <c r="P100" s="177">
        <f>O100*H100</f>
        <v>168.13926000000001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28" t="s">
        <v>132</v>
      </c>
      <c r="AT100" s="128" t="s">
        <v>129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132</v>
      </c>
      <c r="BM100" s="128" t="s">
        <v>166</v>
      </c>
    </row>
    <row r="101" spans="2:65" s="26" customFormat="1" x14ac:dyDescent="0.25">
      <c r="B101" s="132"/>
      <c r="D101" s="179" t="s">
        <v>161</v>
      </c>
      <c r="E101" s="128" t="s">
        <v>9</v>
      </c>
      <c r="F101" s="143" t="s">
        <v>492</v>
      </c>
      <c r="H101" s="166">
        <v>272.07</v>
      </c>
      <c r="L101" s="132"/>
      <c r="M101" s="180"/>
      <c r="T101" s="181"/>
      <c r="AT101" s="128" t="s">
        <v>161</v>
      </c>
      <c r="AU101" s="128" t="s">
        <v>88</v>
      </c>
      <c r="AV101" s="26" t="s">
        <v>88</v>
      </c>
      <c r="AW101" s="26" t="s">
        <v>163</v>
      </c>
      <c r="AX101" s="26" t="s">
        <v>42</v>
      </c>
      <c r="AY101" s="128" t="s">
        <v>126</v>
      </c>
    </row>
    <row r="102" spans="2:65" s="26" customFormat="1" ht="16.5" customHeight="1" x14ac:dyDescent="0.25">
      <c r="B102" s="169"/>
      <c r="C102" s="170">
        <v>10</v>
      </c>
      <c r="D102" s="170" t="s">
        <v>129</v>
      </c>
      <c r="E102" s="171" t="s">
        <v>167</v>
      </c>
      <c r="F102" s="172" t="s">
        <v>168</v>
      </c>
      <c r="G102" s="173" t="s">
        <v>146</v>
      </c>
      <c r="H102" s="174">
        <v>54.414000000000001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0.59799999999999998</v>
      </c>
      <c r="P102" s="177">
        <f>O102*H102</f>
        <v>32.539572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132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132</v>
      </c>
      <c r="BM102" s="128" t="s">
        <v>169</v>
      </c>
    </row>
    <row r="103" spans="2:65" s="26" customFormat="1" x14ac:dyDescent="0.25">
      <c r="B103" s="132"/>
      <c r="D103" s="179" t="s">
        <v>161</v>
      </c>
      <c r="E103" s="128" t="s">
        <v>9</v>
      </c>
      <c r="F103" s="143" t="s">
        <v>162</v>
      </c>
      <c r="H103" s="166">
        <v>54.414000000000001</v>
      </c>
      <c r="L103" s="132"/>
      <c r="M103" s="180"/>
      <c r="T103" s="181"/>
      <c r="AT103" s="128" t="s">
        <v>161</v>
      </c>
      <c r="AU103" s="128" t="s">
        <v>88</v>
      </c>
      <c r="AV103" s="26" t="s">
        <v>88</v>
      </c>
      <c r="AW103" s="26" t="s">
        <v>163</v>
      </c>
      <c r="AX103" s="26" t="s">
        <v>42</v>
      </c>
      <c r="AY103" s="128" t="s">
        <v>126</v>
      </c>
    </row>
    <row r="104" spans="2:65" s="26" customFormat="1" ht="16.5" customHeight="1" x14ac:dyDescent="0.25">
      <c r="B104" s="169"/>
      <c r="C104" s="170">
        <v>11</v>
      </c>
      <c r="D104" s="170" t="s">
        <v>129</v>
      </c>
      <c r="E104" s="171" t="s">
        <v>170</v>
      </c>
      <c r="F104" s="172" t="s">
        <v>171</v>
      </c>
      <c r="G104" s="173" t="s">
        <v>146</v>
      </c>
      <c r="H104" s="174">
        <v>761.79600000000005</v>
      </c>
      <c r="I104" s="174"/>
      <c r="J104" s="174">
        <f>ROUND(I104*H104,3)</f>
        <v>0</v>
      </c>
      <c r="K104" s="172" t="s">
        <v>156</v>
      </c>
      <c r="L104" s="132"/>
      <c r="M104" s="175" t="s">
        <v>9</v>
      </c>
      <c r="N104" s="176" t="s">
        <v>27</v>
      </c>
      <c r="O104" s="177">
        <v>7.0000000000000001E-3</v>
      </c>
      <c r="P104" s="177">
        <f>O104*H104</f>
        <v>5.3325720000000008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28" t="s">
        <v>132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132</v>
      </c>
      <c r="BM104" s="128" t="s">
        <v>172</v>
      </c>
    </row>
    <row r="105" spans="2:65" s="26" customFormat="1" x14ac:dyDescent="0.25">
      <c r="B105" s="132"/>
      <c r="D105" s="179" t="s">
        <v>161</v>
      </c>
      <c r="E105" s="128" t="s">
        <v>9</v>
      </c>
      <c r="F105" s="143" t="s">
        <v>173</v>
      </c>
      <c r="H105" s="166">
        <v>761.79600000000005</v>
      </c>
      <c r="L105" s="132"/>
      <c r="M105" s="180"/>
      <c r="T105" s="181"/>
      <c r="AT105" s="128" t="s">
        <v>161</v>
      </c>
      <c r="AU105" s="128" t="s">
        <v>88</v>
      </c>
      <c r="AV105" s="26" t="s">
        <v>88</v>
      </c>
      <c r="AW105" s="26" t="s">
        <v>163</v>
      </c>
      <c r="AX105" s="26" t="s">
        <v>42</v>
      </c>
      <c r="AY105" s="128" t="s">
        <v>126</v>
      </c>
    </row>
    <row r="106" spans="2:65" s="26" customFormat="1" ht="16.5" customHeight="1" x14ac:dyDescent="0.25">
      <c r="B106" s="169"/>
      <c r="C106" s="170">
        <v>12</v>
      </c>
      <c r="D106" s="170" t="s">
        <v>129</v>
      </c>
      <c r="E106" s="171" t="s">
        <v>174</v>
      </c>
      <c r="F106" s="172" t="s">
        <v>175</v>
      </c>
      <c r="G106" s="173" t="s">
        <v>146</v>
      </c>
      <c r="H106" s="174">
        <f>6.165+47.74*2.2</f>
        <v>111.19300000000001</v>
      </c>
      <c r="I106" s="174"/>
      <c r="J106" s="174">
        <f>ROUND(I106*H106,3)</f>
        <v>0</v>
      </c>
      <c r="K106" s="172" t="s">
        <v>156</v>
      </c>
      <c r="L106" s="132"/>
      <c r="M106" s="175" t="s">
        <v>9</v>
      </c>
      <c r="N106" s="176" t="s">
        <v>27</v>
      </c>
      <c r="O106" s="177">
        <v>0</v>
      </c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176</v>
      </c>
    </row>
    <row r="107" spans="2:65" s="26" customFormat="1" ht="16.5" customHeight="1" x14ac:dyDescent="0.25">
      <c r="B107" s="169"/>
      <c r="C107" s="170">
        <v>13</v>
      </c>
      <c r="D107" s="170" t="s">
        <v>129</v>
      </c>
      <c r="E107" s="171" t="s">
        <v>158</v>
      </c>
      <c r="F107" s="172" t="s">
        <v>159</v>
      </c>
      <c r="G107" s="173" t="s">
        <v>146</v>
      </c>
      <c r="H107" s="174">
        <f>H106</f>
        <v>111.19300000000001</v>
      </c>
      <c r="I107" s="174"/>
      <c r="J107" s="174">
        <f>ROUND(I107*H107,3)</f>
        <v>0</v>
      </c>
      <c r="K107" s="172" t="s">
        <v>9</v>
      </c>
      <c r="L107" s="132"/>
      <c r="M107" s="175" t="s">
        <v>9</v>
      </c>
      <c r="N107" s="176" t="s">
        <v>27</v>
      </c>
      <c r="O107" s="177">
        <v>0.88200000000000001</v>
      </c>
      <c r="P107" s="177">
        <f>O107*H107</f>
        <v>98.072226000000015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132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132</v>
      </c>
      <c r="BM107" s="128" t="s">
        <v>177</v>
      </c>
    </row>
    <row r="108" spans="2:65" s="26" customFormat="1" ht="16.5" customHeight="1" x14ac:dyDescent="0.25">
      <c r="B108" s="169"/>
      <c r="C108" s="170">
        <v>14</v>
      </c>
      <c r="D108" s="170" t="s">
        <v>129</v>
      </c>
      <c r="E108" s="171" t="s">
        <v>164</v>
      </c>
      <c r="F108" s="172" t="s">
        <v>165</v>
      </c>
      <c r="G108" s="173" t="s">
        <v>146</v>
      </c>
      <c r="H108" s="174">
        <f>H107*5</f>
        <v>555.96500000000003</v>
      </c>
      <c r="I108" s="174"/>
      <c r="J108" s="174">
        <f>ROUND(I108*H108,3)</f>
        <v>0</v>
      </c>
      <c r="K108" s="172" t="s">
        <v>156</v>
      </c>
      <c r="L108" s="132"/>
      <c r="M108" s="175" t="s">
        <v>9</v>
      </c>
      <c r="N108" s="176" t="s">
        <v>27</v>
      </c>
      <c r="O108" s="177">
        <v>0.61799999999999999</v>
      </c>
      <c r="P108" s="177">
        <f>O108*H108</f>
        <v>343.58636999999999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132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132</v>
      </c>
      <c r="BM108" s="128" t="s">
        <v>178</v>
      </c>
    </row>
    <row r="109" spans="2:65" s="26" customFormat="1" x14ac:dyDescent="0.25">
      <c r="B109" s="132"/>
      <c r="D109" s="179" t="s">
        <v>161</v>
      </c>
      <c r="E109" s="128" t="s">
        <v>9</v>
      </c>
      <c r="F109" s="143" t="s">
        <v>541</v>
      </c>
      <c r="H109" s="166"/>
      <c r="L109" s="132"/>
      <c r="M109" s="180"/>
      <c r="T109" s="181"/>
      <c r="AT109" s="128" t="s">
        <v>161</v>
      </c>
      <c r="AU109" s="128" t="s">
        <v>88</v>
      </c>
      <c r="AV109" s="26" t="s">
        <v>88</v>
      </c>
      <c r="AW109" s="26" t="s">
        <v>163</v>
      </c>
      <c r="AX109" s="26" t="s">
        <v>42</v>
      </c>
      <c r="AY109" s="128" t="s">
        <v>126</v>
      </c>
    </row>
    <row r="110" spans="2:65" s="26" customFormat="1" ht="16.5" customHeight="1" x14ac:dyDescent="0.25">
      <c r="B110" s="169"/>
      <c r="C110" s="170">
        <v>15</v>
      </c>
      <c r="D110" s="170" t="s">
        <v>129</v>
      </c>
      <c r="E110" s="171" t="s">
        <v>167</v>
      </c>
      <c r="F110" s="172" t="s">
        <v>168</v>
      </c>
      <c r="G110" s="173" t="s">
        <v>146</v>
      </c>
      <c r="H110" s="174">
        <f>H106</f>
        <v>111.19300000000001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0.59799999999999998</v>
      </c>
      <c r="P110" s="177">
        <f>O110*H110</f>
        <v>66.493414000000001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179</v>
      </c>
    </row>
    <row r="111" spans="2:65" s="26" customFormat="1" ht="16.5" customHeight="1" x14ac:dyDescent="0.25">
      <c r="B111" s="169"/>
      <c r="C111" s="170">
        <v>16</v>
      </c>
      <c r="D111" s="170" t="s">
        <v>129</v>
      </c>
      <c r="E111" s="171" t="s">
        <v>170</v>
      </c>
      <c r="F111" s="172" t="s">
        <v>171</v>
      </c>
      <c r="G111" s="173" t="s">
        <v>146</v>
      </c>
      <c r="H111" s="174">
        <f>H110*14</f>
        <v>1556.7020000000002</v>
      </c>
      <c r="I111" s="174"/>
      <c r="J111" s="174">
        <f>ROUND(I111*H111,3)</f>
        <v>0</v>
      </c>
      <c r="K111" s="172" t="s">
        <v>156</v>
      </c>
      <c r="L111" s="132"/>
      <c r="M111" s="175" t="s">
        <v>9</v>
      </c>
      <c r="N111" s="176" t="s">
        <v>27</v>
      </c>
      <c r="O111" s="177">
        <v>7.0000000000000001E-3</v>
      </c>
      <c r="P111" s="177">
        <f>O111*H111</f>
        <v>10.896914000000002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132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132</v>
      </c>
      <c r="BM111" s="128" t="s">
        <v>180</v>
      </c>
    </row>
    <row r="112" spans="2:65" s="26" customFormat="1" x14ac:dyDescent="0.25">
      <c r="B112" s="132"/>
      <c r="D112" s="179" t="s">
        <v>161</v>
      </c>
      <c r="E112" s="128" t="s">
        <v>9</v>
      </c>
      <c r="F112" s="143" t="s">
        <v>542</v>
      </c>
      <c r="H112" s="166"/>
      <c r="L112" s="132"/>
      <c r="M112" s="180"/>
      <c r="T112" s="181"/>
      <c r="AT112" s="128" t="s">
        <v>161</v>
      </c>
      <c r="AU112" s="128" t="s">
        <v>88</v>
      </c>
      <c r="AV112" s="26" t="s">
        <v>88</v>
      </c>
      <c r="AW112" s="26" t="s">
        <v>163</v>
      </c>
      <c r="AX112" s="26" t="s">
        <v>42</v>
      </c>
      <c r="AY112" s="128" t="s">
        <v>126</v>
      </c>
    </row>
    <row r="113" spans="2:65" s="26" customFormat="1" ht="16.5" customHeight="1" x14ac:dyDescent="0.25">
      <c r="B113" s="169"/>
      <c r="C113" s="170">
        <v>17</v>
      </c>
      <c r="D113" s="170" t="s">
        <v>129</v>
      </c>
      <c r="E113" s="171" t="s">
        <v>182</v>
      </c>
      <c r="F113" s="172" t="s">
        <v>183</v>
      </c>
      <c r="G113" s="173" t="s">
        <v>146</v>
      </c>
      <c r="H113" s="174">
        <v>3.048</v>
      </c>
      <c r="I113" s="174"/>
      <c r="J113" s="174">
        <f>ROUND(I113*H113,3)</f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0</v>
      </c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184</v>
      </c>
    </row>
    <row r="114" spans="2:65" s="26" customFormat="1" x14ac:dyDescent="0.25">
      <c r="B114" s="132"/>
      <c r="D114" s="179" t="s">
        <v>161</v>
      </c>
      <c r="E114" s="128" t="s">
        <v>90</v>
      </c>
      <c r="F114" s="143" t="s">
        <v>412</v>
      </c>
      <c r="H114" s="166">
        <v>3.048</v>
      </c>
      <c r="L114" s="132"/>
      <c r="M114" s="180"/>
      <c r="T114" s="181"/>
      <c r="AT114" s="128" t="s">
        <v>161</v>
      </c>
      <c r="AU114" s="128" t="s">
        <v>88</v>
      </c>
      <c r="AV114" s="26" t="s">
        <v>88</v>
      </c>
      <c r="AW114" s="26" t="s">
        <v>163</v>
      </c>
      <c r="AX114" s="26" t="s">
        <v>42</v>
      </c>
      <c r="AY114" s="128" t="s">
        <v>126</v>
      </c>
    </row>
    <row r="115" spans="2:65" s="26" customFormat="1" ht="16.5" customHeight="1" x14ac:dyDescent="0.25">
      <c r="B115" s="169"/>
      <c r="C115" s="170">
        <v>18</v>
      </c>
      <c r="D115" s="170" t="s">
        <v>129</v>
      </c>
      <c r="E115" s="171" t="s">
        <v>158</v>
      </c>
      <c r="F115" s="172" t="s">
        <v>159</v>
      </c>
      <c r="G115" s="173" t="s">
        <v>146</v>
      </c>
      <c r="H115" s="174">
        <v>3.048</v>
      </c>
      <c r="I115" s="174"/>
      <c r="J115" s="174">
        <f>ROUND(I115*H115,3)</f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0.88200000000000001</v>
      </c>
      <c r="P115" s="177">
        <f>O115*H115</f>
        <v>2.6883360000000001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28" t="s">
        <v>132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132</v>
      </c>
      <c r="BM115" s="128" t="s">
        <v>185</v>
      </c>
    </row>
    <row r="116" spans="2:65" s="26" customFormat="1" ht="16.5" customHeight="1" x14ac:dyDescent="0.25">
      <c r="B116" s="169"/>
      <c r="C116" s="170">
        <v>19</v>
      </c>
      <c r="D116" s="170" t="s">
        <v>129</v>
      </c>
      <c r="E116" s="171" t="s">
        <v>164</v>
      </c>
      <c r="F116" s="172" t="s">
        <v>165</v>
      </c>
      <c r="G116" s="173" t="s">
        <v>146</v>
      </c>
      <c r="H116" s="174">
        <v>15.24</v>
      </c>
      <c r="I116" s="174"/>
      <c r="J116" s="174">
        <f>ROUND(I116*H116,3)</f>
        <v>0</v>
      </c>
      <c r="K116" s="172" t="s">
        <v>9</v>
      </c>
      <c r="L116" s="132"/>
      <c r="M116" s="175" t="s">
        <v>9</v>
      </c>
      <c r="N116" s="176" t="s">
        <v>27</v>
      </c>
      <c r="O116" s="177">
        <v>0.61799999999999999</v>
      </c>
      <c r="P116" s="177">
        <f>O116*H116</f>
        <v>9.4183199999999996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28" t="s">
        <v>132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132</v>
      </c>
      <c r="BM116" s="128" t="s">
        <v>186</v>
      </c>
    </row>
    <row r="117" spans="2:65" s="26" customFormat="1" x14ac:dyDescent="0.25">
      <c r="B117" s="132"/>
      <c r="D117" s="179" t="s">
        <v>161</v>
      </c>
      <c r="E117" s="128" t="s">
        <v>9</v>
      </c>
      <c r="F117" s="143" t="s">
        <v>543</v>
      </c>
      <c r="H117" s="166">
        <v>15.24</v>
      </c>
      <c r="L117" s="132"/>
      <c r="M117" s="180"/>
      <c r="T117" s="181"/>
      <c r="AT117" s="128" t="s">
        <v>161</v>
      </c>
      <c r="AU117" s="128" t="s">
        <v>88</v>
      </c>
      <c r="AV117" s="26" t="s">
        <v>88</v>
      </c>
      <c r="AW117" s="26" t="s">
        <v>163</v>
      </c>
      <c r="AX117" s="26" t="s">
        <v>42</v>
      </c>
      <c r="AY117" s="128" t="s">
        <v>126</v>
      </c>
    </row>
    <row r="118" spans="2:65" s="26" customFormat="1" ht="16.5" customHeight="1" x14ac:dyDescent="0.25">
      <c r="B118" s="169"/>
      <c r="C118" s="170">
        <v>20</v>
      </c>
      <c r="D118" s="170" t="s">
        <v>129</v>
      </c>
      <c r="E118" s="171" t="s">
        <v>167</v>
      </c>
      <c r="F118" s="172" t="s">
        <v>168</v>
      </c>
      <c r="G118" s="173" t="s">
        <v>146</v>
      </c>
      <c r="H118" s="174">
        <v>3.048</v>
      </c>
      <c r="I118" s="174"/>
      <c r="J118" s="174">
        <f>ROUND(I118*H118,3)</f>
        <v>0</v>
      </c>
      <c r="K118" s="172" t="s">
        <v>156</v>
      </c>
      <c r="L118" s="132"/>
      <c r="M118" s="175" t="s">
        <v>9</v>
      </c>
      <c r="N118" s="176" t="s">
        <v>27</v>
      </c>
      <c r="O118" s="177">
        <v>0.59799999999999998</v>
      </c>
      <c r="P118" s="177">
        <f>O118*H118</f>
        <v>1.8227039999999999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28" t="s">
        <v>132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132</v>
      </c>
      <c r="BM118" s="128" t="s">
        <v>188</v>
      </c>
    </row>
    <row r="119" spans="2:65" s="26" customFormat="1" x14ac:dyDescent="0.25">
      <c r="B119" s="132"/>
      <c r="D119" s="179" t="s">
        <v>161</v>
      </c>
      <c r="E119" s="128" t="s">
        <v>9</v>
      </c>
      <c r="F119" s="143" t="s">
        <v>90</v>
      </c>
      <c r="H119" s="166">
        <v>3.048</v>
      </c>
      <c r="L119" s="132"/>
      <c r="M119" s="180"/>
      <c r="T119" s="181"/>
      <c r="AT119" s="128" t="s">
        <v>161</v>
      </c>
      <c r="AU119" s="128" t="s">
        <v>88</v>
      </c>
      <c r="AV119" s="26" t="s">
        <v>88</v>
      </c>
      <c r="AW119" s="26" t="s">
        <v>163</v>
      </c>
      <c r="AX119" s="26" t="s">
        <v>42</v>
      </c>
      <c r="AY119" s="128" t="s">
        <v>126</v>
      </c>
    </row>
    <row r="120" spans="2:65" s="26" customFormat="1" ht="16.5" customHeight="1" x14ac:dyDescent="0.25">
      <c r="B120" s="169"/>
      <c r="C120" s="170">
        <v>21</v>
      </c>
      <c r="D120" s="170" t="s">
        <v>129</v>
      </c>
      <c r="E120" s="171" t="s">
        <v>170</v>
      </c>
      <c r="F120" s="172" t="s">
        <v>171</v>
      </c>
      <c r="G120" s="173" t="s">
        <v>146</v>
      </c>
      <c r="H120" s="174">
        <v>42.671999999999997</v>
      </c>
      <c r="I120" s="174"/>
      <c r="J120" s="174">
        <f>ROUND(I120*H120,3)</f>
        <v>0</v>
      </c>
      <c r="K120" s="172" t="s">
        <v>156</v>
      </c>
      <c r="L120" s="132"/>
      <c r="M120" s="175" t="s">
        <v>9</v>
      </c>
      <c r="N120" s="176" t="s">
        <v>27</v>
      </c>
      <c r="O120" s="177">
        <v>7.0000000000000001E-3</v>
      </c>
      <c r="P120" s="177">
        <f>O120*H120</f>
        <v>0.29870399999999997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R120" s="128" t="s">
        <v>132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132</v>
      </c>
      <c r="BM120" s="128" t="s">
        <v>189</v>
      </c>
    </row>
    <row r="121" spans="2:65" s="26" customFormat="1" x14ac:dyDescent="0.25">
      <c r="B121" s="132"/>
      <c r="D121" s="179" t="s">
        <v>161</v>
      </c>
      <c r="E121" s="128" t="s">
        <v>9</v>
      </c>
      <c r="F121" s="143" t="s">
        <v>190</v>
      </c>
      <c r="H121" s="166">
        <v>42.671999999999997</v>
      </c>
      <c r="L121" s="132"/>
      <c r="M121" s="180"/>
      <c r="T121" s="181"/>
      <c r="AT121" s="128" t="s">
        <v>161</v>
      </c>
      <c r="AU121" s="128" t="s">
        <v>88</v>
      </c>
      <c r="AV121" s="26" t="s">
        <v>88</v>
      </c>
      <c r="AW121" s="26" t="s">
        <v>163</v>
      </c>
      <c r="AX121" s="26" t="s">
        <v>42</v>
      </c>
      <c r="AY121" s="128" t="s">
        <v>126</v>
      </c>
    </row>
    <row r="122" spans="2:65" s="158" customFormat="1" ht="25.9" customHeight="1" x14ac:dyDescent="0.2">
      <c r="B122" s="157"/>
      <c r="D122" s="159" t="s">
        <v>123</v>
      </c>
      <c r="E122" s="160" t="s">
        <v>191</v>
      </c>
      <c r="F122" s="160" t="s">
        <v>192</v>
      </c>
      <c r="J122" s="161">
        <f>J123+J134+J140</f>
        <v>0</v>
      </c>
      <c r="L122" s="157"/>
      <c r="M122" s="162"/>
      <c r="P122" s="163"/>
      <c r="R122" s="163"/>
      <c r="T122" s="164"/>
      <c r="V122" s="193"/>
      <c r="AR122" s="159" t="s">
        <v>88</v>
      </c>
      <c r="AT122" s="165" t="s">
        <v>123</v>
      </c>
      <c r="AU122" s="165" t="s">
        <v>39</v>
      </c>
      <c r="AY122" s="159" t="s">
        <v>126</v>
      </c>
      <c r="BK122" s="166">
        <f>BK123+BK134+BK140</f>
        <v>0</v>
      </c>
    </row>
    <row r="123" spans="2:65" s="158" customFormat="1" ht="22.9" customHeight="1" x14ac:dyDescent="0.2">
      <c r="B123" s="157"/>
      <c r="D123" s="159" t="s">
        <v>123</v>
      </c>
      <c r="E123" s="167" t="s">
        <v>193</v>
      </c>
      <c r="F123" s="167" t="s">
        <v>194</v>
      </c>
      <c r="J123" s="168">
        <f>SUM(J124:J133)</f>
        <v>0</v>
      </c>
      <c r="L123" s="157"/>
      <c r="M123" s="162"/>
      <c r="P123" s="163">
        <f>SUM(P124:P133)</f>
        <v>886.42715999999996</v>
      </c>
      <c r="R123" s="163">
        <f>SUM(R124:R133)</f>
        <v>1.28898</v>
      </c>
      <c r="T123" s="164">
        <f>SUM(T124:T133)</f>
        <v>62.67</v>
      </c>
      <c r="AR123" s="159" t="s">
        <v>88</v>
      </c>
      <c r="AT123" s="165" t="s">
        <v>123</v>
      </c>
      <c r="AU123" s="165" t="s">
        <v>42</v>
      </c>
      <c r="AY123" s="159" t="s">
        <v>126</v>
      </c>
      <c r="BK123" s="166">
        <f>SUM(BK124:BK133)</f>
        <v>0</v>
      </c>
    </row>
    <row r="124" spans="2:65" s="26" customFormat="1" ht="16.5" customHeight="1" x14ac:dyDescent="0.25">
      <c r="B124" s="169"/>
      <c r="C124" s="170">
        <v>22</v>
      </c>
      <c r="D124" s="170" t="s">
        <v>129</v>
      </c>
      <c r="E124" s="171" t="s">
        <v>199</v>
      </c>
      <c r="F124" s="172" t="s">
        <v>200</v>
      </c>
      <c r="G124" s="173" t="s">
        <v>136</v>
      </c>
      <c r="H124" s="174">
        <v>137</v>
      </c>
      <c r="I124" s="174"/>
      <c r="J124" s="174">
        <f>ROUND(I124*H124,3)</f>
        <v>0</v>
      </c>
      <c r="K124" s="172" t="s">
        <v>9</v>
      </c>
      <c r="L124" s="132"/>
      <c r="M124" s="175" t="s">
        <v>9</v>
      </c>
      <c r="N124" s="176" t="s">
        <v>27</v>
      </c>
      <c r="O124" s="177">
        <v>2.7E-2</v>
      </c>
      <c r="P124" s="177">
        <f>O124*H124</f>
        <v>3.6989999999999998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201</v>
      </c>
    </row>
    <row r="125" spans="2:65" s="26" customFormat="1" ht="16.5" customHeight="1" x14ac:dyDescent="0.25">
      <c r="B125" s="169"/>
      <c r="C125" s="170">
        <v>23</v>
      </c>
      <c r="D125" s="170" t="s">
        <v>129</v>
      </c>
      <c r="E125" s="171" t="s">
        <v>465</v>
      </c>
      <c r="F125" s="172" t="s">
        <v>466</v>
      </c>
      <c r="G125" s="173" t="s">
        <v>136</v>
      </c>
      <c r="H125" s="174">
        <v>1302</v>
      </c>
      <c r="I125" s="174"/>
      <c r="J125" s="174">
        <f>ROUND(I125*H125,3)</f>
        <v>0</v>
      </c>
      <c r="K125" s="172" t="s">
        <v>9</v>
      </c>
      <c r="L125" s="132"/>
      <c r="M125" s="175" t="s">
        <v>9</v>
      </c>
      <c r="N125" s="176" t="s">
        <v>27</v>
      </c>
      <c r="O125" s="177">
        <v>0.43458000000000002</v>
      </c>
      <c r="P125" s="177">
        <f>O125*H125</f>
        <v>565.82316000000003</v>
      </c>
      <c r="Q125" s="177">
        <v>9.8999999999999999E-4</v>
      </c>
      <c r="R125" s="177">
        <f>Q125*H125</f>
        <v>1.28898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467</v>
      </c>
    </row>
    <row r="126" spans="2:65" s="26" customFormat="1" ht="16.5" customHeight="1" x14ac:dyDescent="0.25">
      <c r="B126" s="169"/>
      <c r="C126" s="170">
        <v>24</v>
      </c>
      <c r="D126" s="170" t="s">
        <v>129</v>
      </c>
      <c r="E126" s="171" t="s">
        <v>210</v>
      </c>
      <c r="F126" s="172" t="s">
        <v>211</v>
      </c>
      <c r="G126" s="173" t="s">
        <v>136</v>
      </c>
      <c r="H126" s="174">
        <f>1465+454</f>
        <v>1919</v>
      </c>
      <c r="I126" s="174"/>
      <c r="J126" s="174">
        <f>ROUND(I126*H126,3)</f>
        <v>0</v>
      </c>
      <c r="K126" s="172" t="s">
        <v>9</v>
      </c>
      <c r="L126" s="204"/>
      <c r="M126" s="175" t="s">
        <v>9</v>
      </c>
      <c r="N126" s="176" t="s">
        <v>27</v>
      </c>
      <c r="O126" s="177">
        <v>7.0999999999999994E-2</v>
      </c>
      <c r="P126" s="177">
        <f>O126*H126</f>
        <v>136.249</v>
      </c>
      <c r="Q126" s="177">
        <v>0</v>
      </c>
      <c r="R126" s="177">
        <f>Q126*H126</f>
        <v>0</v>
      </c>
      <c r="S126" s="177">
        <v>1.6E-2</v>
      </c>
      <c r="T126" s="178">
        <f>S126*H126</f>
        <v>30.704000000000001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212</v>
      </c>
    </row>
    <row r="127" spans="2:65" s="26" customFormat="1" x14ac:dyDescent="0.25">
      <c r="B127" s="132"/>
      <c r="D127" s="179" t="s">
        <v>161</v>
      </c>
      <c r="E127" s="128" t="s">
        <v>9</v>
      </c>
      <c r="F127" s="143" t="s">
        <v>544</v>
      </c>
      <c r="H127" s="166"/>
      <c r="L127" s="132"/>
      <c r="M127" s="180"/>
      <c r="T127" s="181"/>
      <c r="AT127" s="128" t="s">
        <v>161</v>
      </c>
      <c r="AU127" s="128" t="s">
        <v>88</v>
      </c>
      <c r="AV127" s="26" t="s">
        <v>88</v>
      </c>
      <c r="AW127" s="26" t="s">
        <v>163</v>
      </c>
      <c r="AX127" s="26" t="s">
        <v>42</v>
      </c>
      <c r="AY127" s="128" t="s">
        <v>126</v>
      </c>
    </row>
    <row r="128" spans="2:65" s="26" customFormat="1" ht="16.5" customHeight="1" x14ac:dyDescent="0.25">
      <c r="B128" s="169"/>
      <c r="C128" s="170">
        <v>25</v>
      </c>
      <c r="D128" s="170" t="s">
        <v>129</v>
      </c>
      <c r="E128" s="171" t="s">
        <v>214</v>
      </c>
      <c r="F128" s="172" t="s">
        <v>416</v>
      </c>
      <c r="G128" s="173" t="s">
        <v>136</v>
      </c>
      <c r="H128" s="174">
        <f>H131</f>
        <v>4395</v>
      </c>
      <c r="I128" s="174"/>
      <c r="J128" s="174">
        <f>ROUND(I128*H128,3)</f>
        <v>0</v>
      </c>
      <c r="K128" s="172" t="s">
        <v>156</v>
      </c>
      <c r="L128" s="132"/>
      <c r="M128" s="175" t="s">
        <v>9</v>
      </c>
      <c r="N128" s="176" t="s">
        <v>27</v>
      </c>
      <c r="O128" s="177">
        <v>8.0000000000000002E-3</v>
      </c>
      <c r="P128" s="177">
        <f>O128*H128</f>
        <v>35.160000000000004</v>
      </c>
      <c r="Q128" s="177">
        <v>0</v>
      </c>
      <c r="R128" s="177">
        <f>Q128*H128</f>
        <v>0</v>
      </c>
      <c r="S128" s="177">
        <v>6.0000000000000001E-3</v>
      </c>
      <c r="T128" s="178">
        <f>S128*H128</f>
        <v>26.37</v>
      </c>
      <c r="AR128" s="128" t="s">
        <v>197</v>
      </c>
      <c r="AT128" s="128" t="s">
        <v>129</v>
      </c>
      <c r="AU128" s="128" t="s">
        <v>88</v>
      </c>
      <c r="AY128" s="128" t="s">
        <v>126</v>
      </c>
      <c r="BE128" s="138">
        <f>IF(N128="základná",J128,0)</f>
        <v>0</v>
      </c>
      <c r="BF128" s="138">
        <f>IF(N128="znížená",J128,0)</f>
        <v>0</v>
      </c>
      <c r="BG128" s="138">
        <f>IF(N128="zákl. prenesená",J128,0)</f>
        <v>0</v>
      </c>
      <c r="BH128" s="138">
        <f>IF(N128="zníž. prenesená",J128,0)</f>
        <v>0</v>
      </c>
      <c r="BI128" s="138">
        <f>IF(N128="nulová",J128,0)</f>
        <v>0</v>
      </c>
      <c r="BJ128" s="128" t="s">
        <v>88</v>
      </c>
      <c r="BK128" s="166">
        <f>ROUND(I128*H128,3)</f>
        <v>0</v>
      </c>
      <c r="BL128" s="128" t="s">
        <v>197</v>
      </c>
      <c r="BM128" s="128" t="s">
        <v>216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545</v>
      </c>
      <c r="H129" s="166">
        <f>1465*3</f>
        <v>4395</v>
      </c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39</v>
      </c>
      <c r="AY129" s="128" t="s">
        <v>126</v>
      </c>
    </row>
    <row r="130" spans="2:65" s="26" customFormat="1" x14ac:dyDescent="0.25">
      <c r="B130" s="132"/>
      <c r="D130" s="179"/>
      <c r="E130" s="128"/>
      <c r="F130" s="143"/>
      <c r="H130" s="166"/>
      <c r="L130" s="132"/>
      <c r="M130" s="180"/>
      <c r="T130" s="181"/>
      <c r="AT130" s="128"/>
      <c r="AU130" s="128"/>
      <c r="AY130" s="128"/>
    </row>
    <row r="131" spans="2:65" s="26" customFormat="1" x14ac:dyDescent="0.25">
      <c r="B131" s="132"/>
      <c r="D131" s="179" t="s">
        <v>161</v>
      </c>
      <c r="E131" s="128" t="s">
        <v>9</v>
      </c>
      <c r="F131" s="143" t="s">
        <v>218</v>
      </c>
      <c r="H131" s="166">
        <f>SUM(H129:H130)</f>
        <v>4395</v>
      </c>
      <c r="L131" s="132"/>
      <c r="M131" s="180"/>
      <c r="T131" s="181"/>
      <c r="AT131" s="128" t="s">
        <v>161</v>
      </c>
      <c r="AU131" s="128" t="s">
        <v>88</v>
      </c>
      <c r="AV131" s="26" t="s">
        <v>132</v>
      </c>
      <c r="AW131" s="26" t="s">
        <v>163</v>
      </c>
      <c r="AX131" s="26" t="s">
        <v>42</v>
      </c>
      <c r="AY131" s="128" t="s">
        <v>126</v>
      </c>
    </row>
    <row r="132" spans="2:65" s="26" customFormat="1" ht="16.5" customHeight="1" x14ac:dyDescent="0.25">
      <c r="B132" s="169"/>
      <c r="C132" s="170">
        <v>26</v>
      </c>
      <c r="D132" s="170" t="s">
        <v>129</v>
      </c>
      <c r="E132" s="171" t="s">
        <v>219</v>
      </c>
      <c r="F132" s="172" t="s">
        <v>546</v>
      </c>
      <c r="G132" s="173" t="s">
        <v>136</v>
      </c>
      <c r="H132" s="174">
        <f>1465*0.6</f>
        <v>879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5.1999999999999998E-2</v>
      </c>
      <c r="P132" s="177">
        <f>O132*H132</f>
        <v>45.707999999999998</v>
      </c>
      <c r="Q132" s="177">
        <v>0</v>
      </c>
      <c r="R132" s="177">
        <f>Q132*H132</f>
        <v>0</v>
      </c>
      <c r="S132" s="177">
        <v>2E-3</v>
      </c>
      <c r="T132" s="178">
        <f>S132*H132</f>
        <v>1.758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221</v>
      </c>
    </row>
    <row r="133" spans="2:65" s="26" customFormat="1" ht="16.5" customHeight="1" x14ac:dyDescent="0.25">
      <c r="B133" s="169"/>
      <c r="C133" s="170">
        <v>27</v>
      </c>
      <c r="D133" s="170" t="s">
        <v>129</v>
      </c>
      <c r="E133" s="171" t="s">
        <v>219</v>
      </c>
      <c r="F133" s="172" t="s">
        <v>222</v>
      </c>
      <c r="G133" s="173" t="s">
        <v>136</v>
      </c>
      <c r="H133" s="174">
        <f>H126</f>
        <v>1919</v>
      </c>
      <c r="I133" s="174"/>
      <c r="J133" s="174">
        <f>ROUND(I133*H133,3)</f>
        <v>0</v>
      </c>
      <c r="K133" s="172" t="s">
        <v>9</v>
      </c>
      <c r="L133" s="132"/>
      <c r="M133" s="175" t="s">
        <v>9</v>
      </c>
      <c r="N133" s="176" t="s">
        <v>27</v>
      </c>
      <c r="O133" s="177">
        <v>5.1999999999999998E-2</v>
      </c>
      <c r="P133" s="177">
        <f>O133*H133</f>
        <v>99.787999999999997</v>
      </c>
      <c r="Q133" s="177">
        <v>0</v>
      </c>
      <c r="R133" s="177">
        <f>Q133*H133</f>
        <v>0</v>
      </c>
      <c r="S133" s="177">
        <v>2E-3</v>
      </c>
      <c r="T133" s="178">
        <f>S133*H133</f>
        <v>3.8380000000000001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221</v>
      </c>
    </row>
    <row r="134" spans="2:65" s="158" customFormat="1" ht="22.9" customHeight="1" x14ac:dyDescent="0.2">
      <c r="B134" s="157"/>
      <c r="D134" s="159" t="s">
        <v>123</v>
      </c>
      <c r="E134" s="167" t="s">
        <v>223</v>
      </c>
      <c r="F134" s="167" t="s">
        <v>224</v>
      </c>
      <c r="J134" s="168">
        <f>SUM(J135:J139)</f>
        <v>0</v>
      </c>
      <c r="L134" s="157"/>
      <c r="M134" s="162"/>
      <c r="P134" s="163">
        <f>SUM(P135:P139)</f>
        <v>147.27962000000002</v>
      </c>
      <c r="R134" s="163">
        <f>SUM(R135:R139)</f>
        <v>0.1024</v>
      </c>
      <c r="T134" s="164">
        <f>SUM(T135:T139)</f>
        <v>7.5863260000000015</v>
      </c>
      <c r="AR134" s="159" t="s">
        <v>88</v>
      </c>
      <c r="AT134" s="165" t="s">
        <v>123</v>
      </c>
      <c r="AU134" s="165" t="s">
        <v>42</v>
      </c>
      <c r="AY134" s="159" t="s">
        <v>126</v>
      </c>
      <c r="BK134" s="166">
        <f>SUM(BK135:BK139)</f>
        <v>0</v>
      </c>
    </row>
    <row r="135" spans="2:65" s="26" customFormat="1" ht="16.5" customHeight="1" x14ac:dyDescent="0.25">
      <c r="B135" s="169"/>
      <c r="C135" s="170">
        <v>28</v>
      </c>
      <c r="D135" s="170" t="s">
        <v>129</v>
      </c>
      <c r="E135" s="171" t="s">
        <v>225</v>
      </c>
      <c r="F135" s="172" t="s">
        <v>226</v>
      </c>
      <c r="G135" s="173" t="s">
        <v>205</v>
      </c>
      <c r="H135" s="174">
        <v>50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0.50117999999999996</v>
      </c>
      <c r="P135" s="177">
        <f>O135*H135</f>
        <v>25.058999999999997</v>
      </c>
      <c r="Q135" s="177">
        <v>1.6000000000000001E-3</v>
      </c>
      <c r="R135" s="177">
        <f>Q135*H135</f>
        <v>0.08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227</v>
      </c>
    </row>
    <row r="136" spans="2:65" s="26" customFormat="1" ht="16.5" customHeight="1" x14ac:dyDescent="0.25">
      <c r="B136" s="169"/>
      <c r="C136" s="170">
        <v>29</v>
      </c>
      <c r="D136" s="170" t="s">
        <v>129</v>
      </c>
      <c r="E136" s="171" t="s">
        <v>228</v>
      </c>
      <c r="F136" s="172" t="s">
        <v>229</v>
      </c>
      <c r="G136" s="173" t="s">
        <v>230</v>
      </c>
      <c r="H136" s="174">
        <v>173.8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7.4999999999999997E-2</v>
      </c>
      <c r="P136" s="177">
        <f>O136*H136</f>
        <v>13.035</v>
      </c>
      <c r="Q136" s="177">
        <v>0</v>
      </c>
      <c r="R136" s="177">
        <f>Q136*H136</f>
        <v>0</v>
      </c>
      <c r="S136" s="177">
        <v>2.5200000000000001E-3</v>
      </c>
      <c r="T136" s="178">
        <f>S136*H136</f>
        <v>0.43797600000000003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231</v>
      </c>
    </row>
    <row r="137" spans="2:65" s="26" customFormat="1" ht="16.5" customHeight="1" x14ac:dyDescent="0.25">
      <c r="B137" s="169"/>
      <c r="C137" s="170">
        <v>30</v>
      </c>
      <c r="D137" s="170" t="s">
        <v>129</v>
      </c>
      <c r="E137" s="171" t="s">
        <v>232</v>
      </c>
      <c r="F137" s="172" t="s">
        <v>233</v>
      </c>
      <c r="G137" s="173" t="s">
        <v>234</v>
      </c>
      <c r="H137" s="174">
        <f>163.9+184.8</f>
        <v>348.70000000000005</v>
      </c>
      <c r="I137" s="174"/>
      <c r="J137" s="174">
        <f>ROUND(I137*H137,3)</f>
        <v>0</v>
      </c>
      <c r="K137" s="172" t="s">
        <v>9</v>
      </c>
      <c r="L137" s="132"/>
      <c r="M137" s="175" t="s">
        <v>9</v>
      </c>
      <c r="N137" s="176" t="s">
        <v>27</v>
      </c>
      <c r="O137" s="177">
        <v>0.29299999999999998</v>
      </c>
      <c r="P137" s="177">
        <f>O137*H137</f>
        <v>102.1691</v>
      </c>
      <c r="Q137" s="177">
        <v>0</v>
      </c>
      <c r="R137" s="177">
        <f>Q137*H137</f>
        <v>0</v>
      </c>
      <c r="S137" s="177">
        <v>2.0500000000000001E-2</v>
      </c>
      <c r="T137" s="178">
        <f>S137*H137</f>
        <v>7.1483500000000015</v>
      </c>
      <c r="AR137" s="128" t="s">
        <v>197</v>
      </c>
      <c r="AT137" s="128" t="s">
        <v>129</v>
      </c>
      <c r="AU137" s="128" t="s">
        <v>88</v>
      </c>
      <c r="AY137" s="128" t="s">
        <v>126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28" t="s">
        <v>88</v>
      </c>
      <c r="BK137" s="166">
        <f>ROUND(I137*H137,3)</f>
        <v>0</v>
      </c>
      <c r="BL137" s="128" t="s">
        <v>197</v>
      </c>
      <c r="BM137" s="128" t="s">
        <v>235</v>
      </c>
    </row>
    <row r="138" spans="2:65" s="26" customFormat="1" ht="16.5" customHeight="1" x14ac:dyDescent="0.25">
      <c r="B138" s="169"/>
      <c r="C138" s="170" t="s">
        <v>418</v>
      </c>
      <c r="D138" s="170" t="s">
        <v>129</v>
      </c>
      <c r="E138" s="171" t="s">
        <v>237</v>
      </c>
      <c r="F138" s="172" t="s">
        <v>238</v>
      </c>
      <c r="G138" s="173" t="s">
        <v>230</v>
      </c>
      <c r="H138" s="174">
        <v>98</v>
      </c>
      <c r="I138" s="174"/>
      <c r="J138" s="174">
        <f t="shared" ref="J138" si="1">ROUND(I138*H138,3)</f>
        <v>0</v>
      </c>
      <c r="K138" s="172"/>
      <c r="L138" s="132"/>
      <c r="M138" s="175"/>
      <c r="N138" s="176"/>
      <c r="O138" s="177"/>
      <c r="P138" s="177"/>
      <c r="Q138" s="177"/>
      <c r="R138" s="177"/>
      <c r="S138" s="177"/>
      <c r="T138" s="178"/>
      <c r="AR138" s="128"/>
      <c r="AT138" s="128"/>
      <c r="AU138" s="128"/>
      <c r="AY138" s="128"/>
      <c r="BE138" s="138"/>
      <c r="BF138" s="138"/>
      <c r="BG138" s="138"/>
      <c r="BH138" s="138"/>
      <c r="BI138" s="138"/>
      <c r="BJ138" s="128"/>
      <c r="BK138" s="166"/>
      <c r="BL138" s="128"/>
      <c r="BM138" s="128"/>
    </row>
    <row r="139" spans="2:65" s="26" customFormat="1" ht="16.5" customHeight="1" x14ac:dyDescent="0.25">
      <c r="B139" s="169"/>
      <c r="C139" s="170">
        <v>31</v>
      </c>
      <c r="D139" s="170" t="s">
        <v>129</v>
      </c>
      <c r="E139" s="171" t="s">
        <v>239</v>
      </c>
      <c r="F139" s="172" t="s">
        <v>240</v>
      </c>
      <c r="G139" s="173" t="s">
        <v>205</v>
      </c>
      <c r="H139" s="174">
        <v>14</v>
      </c>
      <c r="I139" s="174"/>
      <c r="J139" s="174">
        <f>ROUND(I139*H139,3)</f>
        <v>0</v>
      </c>
      <c r="K139" s="172" t="s">
        <v>9</v>
      </c>
      <c r="L139" s="132"/>
      <c r="M139" s="175" t="s">
        <v>9</v>
      </c>
      <c r="N139" s="176" t="s">
        <v>27</v>
      </c>
      <c r="O139" s="177">
        <v>0.50117999999999996</v>
      </c>
      <c r="P139" s="177">
        <f>O139*H139</f>
        <v>7.0165199999999999</v>
      </c>
      <c r="Q139" s="177">
        <v>1.6000000000000001E-3</v>
      </c>
      <c r="R139" s="177">
        <f>Q139*H139</f>
        <v>2.24E-2</v>
      </c>
      <c r="S139" s="177">
        <v>0</v>
      </c>
      <c r="T139" s="178">
        <f>S139*H139</f>
        <v>0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241</v>
      </c>
    </row>
    <row r="140" spans="2:65" s="158" customFormat="1" ht="22.9" customHeight="1" x14ac:dyDescent="0.2">
      <c r="B140" s="157"/>
      <c r="D140" s="159" t="s">
        <v>123</v>
      </c>
      <c r="E140" s="167" t="s">
        <v>242</v>
      </c>
      <c r="F140" s="167" t="s">
        <v>243</v>
      </c>
      <c r="J140" s="168">
        <f>SUM(J141)</f>
        <v>0</v>
      </c>
      <c r="L140" s="157"/>
      <c r="M140" s="162"/>
      <c r="P140" s="163">
        <f>P141</f>
        <v>10.8064</v>
      </c>
      <c r="R140" s="163">
        <f>R141</f>
        <v>1.1000000000000001E-2</v>
      </c>
      <c r="T140" s="164">
        <f>T141</f>
        <v>0.22</v>
      </c>
      <c r="AR140" s="159" t="s">
        <v>88</v>
      </c>
      <c r="AT140" s="165" t="s">
        <v>123</v>
      </c>
      <c r="AU140" s="165" t="s">
        <v>42</v>
      </c>
      <c r="AY140" s="159" t="s">
        <v>126</v>
      </c>
      <c r="BK140" s="166">
        <f>BK141</f>
        <v>0</v>
      </c>
    </row>
    <row r="141" spans="2:65" s="26" customFormat="1" ht="16.5" customHeight="1" x14ac:dyDescent="0.25">
      <c r="B141" s="169"/>
      <c r="C141" s="170">
        <v>32</v>
      </c>
      <c r="D141" s="170" t="s">
        <v>129</v>
      </c>
      <c r="E141" s="171" t="s">
        <v>244</v>
      </c>
      <c r="F141" s="172" t="s">
        <v>245</v>
      </c>
      <c r="G141" s="173" t="s">
        <v>86</v>
      </c>
      <c r="H141" s="174">
        <v>220</v>
      </c>
      <c r="I141" s="174"/>
      <c r="J141" s="174">
        <f>ROUND(I141*H141,3)</f>
        <v>0</v>
      </c>
      <c r="K141" s="172" t="s">
        <v>156</v>
      </c>
      <c r="L141" s="132"/>
      <c r="M141" s="183" t="s">
        <v>9</v>
      </c>
      <c r="N141" s="184" t="s">
        <v>27</v>
      </c>
      <c r="O141" s="185">
        <v>4.9119999999999997E-2</v>
      </c>
      <c r="P141" s="185">
        <f>O141*H141</f>
        <v>10.8064</v>
      </c>
      <c r="Q141" s="185">
        <v>5.0000000000000002E-5</v>
      </c>
      <c r="R141" s="185">
        <f>Q141*H141</f>
        <v>1.1000000000000001E-2</v>
      </c>
      <c r="S141" s="185">
        <v>1E-3</v>
      </c>
      <c r="T141" s="186">
        <f>S141*H141</f>
        <v>0.22</v>
      </c>
      <c r="AR141" s="128" t="s">
        <v>197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197</v>
      </c>
      <c r="BM141" s="128" t="s">
        <v>246</v>
      </c>
    </row>
    <row r="142" spans="2:65" s="26" customFormat="1" ht="6.95" customHeight="1" x14ac:dyDescent="0.25">
      <c r="B142" s="141"/>
      <c r="C142" s="36"/>
      <c r="D142" s="36"/>
      <c r="E142" s="36"/>
      <c r="F142" s="36"/>
      <c r="G142" s="36"/>
      <c r="H142" s="36"/>
      <c r="I142" s="36"/>
      <c r="J142" s="36"/>
      <c r="K142" s="36"/>
      <c r="L142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topLeftCell="A82" workbookViewId="0">
      <selection activeCell="I92" sqref="I92:I152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63</v>
      </c>
      <c r="AZ2" s="128" t="s">
        <v>247</v>
      </c>
      <c r="BA2" s="128" t="s">
        <v>248</v>
      </c>
      <c r="BB2" s="128" t="s">
        <v>9</v>
      </c>
      <c r="BC2" s="128" t="s">
        <v>547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553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ROUND((SUM(BE89:BE142)),  2)</f>
        <v>0</v>
      </c>
      <c r="I33" s="139">
        <v>0.2</v>
      </c>
      <c r="J33" s="138">
        <f>ROUND(((SUM(BE89:BE142))*I33),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ROUND((SUM(BF89:BF142)),  2)</f>
        <v>0</v>
      </c>
      <c r="I34" s="139">
        <v>0.2</v>
      </c>
      <c r="J34" s="138">
        <f>ROUND(((SUM(BF89:BF142))*I34),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ROUND((SUM(BG89:BG142)),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ROUND((SUM(BH89:BH142)),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ROUND((SUM(BI89:BI142)),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F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J98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J101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J117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J122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J133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J140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J141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548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J90+J100+J140+J144</f>
        <v>0</v>
      </c>
      <c r="L89" s="132"/>
      <c r="M89" s="153"/>
      <c r="N89" s="134"/>
      <c r="O89" s="134"/>
      <c r="P89" s="154">
        <f>P90+P100+P140</f>
        <v>1998.9674240000004</v>
      </c>
      <c r="Q89" s="134"/>
      <c r="R89" s="154">
        <f>R90+R100+R140</f>
        <v>50.932542350000006</v>
      </c>
      <c r="S89" s="134"/>
      <c r="T89" s="155">
        <f>T90+T100+T140</f>
        <v>0</v>
      </c>
      <c r="AT89" s="128" t="s">
        <v>123</v>
      </c>
      <c r="AU89" s="128" t="s">
        <v>101</v>
      </c>
      <c r="BK89" s="156">
        <f>BK90+BK100+BK140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J91+J98</f>
        <v>0</v>
      </c>
      <c r="L90" s="157"/>
      <c r="M90" s="162"/>
      <c r="P90" s="163">
        <f>P91+P98</f>
        <v>275.78904999999997</v>
      </c>
      <c r="R90" s="163">
        <f>R91+R98</f>
        <v>19.9109336</v>
      </c>
      <c r="T90" s="164">
        <f>T91+T98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BK91+BK98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SUM(J92:J96)</f>
        <v>0</v>
      </c>
      <c r="L91" s="157"/>
      <c r="M91" s="162"/>
      <c r="P91" s="163">
        <f>SUM(P92:P97)</f>
        <v>271.38162999999997</v>
      </c>
      <c r="R91" s="163">
        <f>SUM(R92:R97)</f>
        <v>19.9109336</v>
      </c>
      <c r="T91" s="164">
        <f>SUM(T92:T97)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SUM(BK92:BK97)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31.6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10.0488</v>
      </c>
      <c r="Q92" s="177">
        <v>4.0899999999999999E-3</v>
      </c>
      <c r="R92" s="177">
        <f>Q92*H92</f>
        <v>0.129244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471</v>
      </c>
      <c r="G93" s="173" t="s">
        <v>136</v>
      </c>
      <c r="H93" s="174">
        <v>137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0.34309000000000001</v>
      </c>
      <c r="P93" s="177">
        <f>O93*H93</f>
        <v>47.003329999999998</v>
      </c>
      <c r="Q93" s="177">
        <v>4.4000000000000002E-4</v>
      </c>
      <c r="R93" s="177">
        <f>Q93*H93</f>
        <v>6.028E-2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260</v>
      </c>
    </row>
    <row r="94" spans="2:65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549</v>
      </c>
      <c r="G94" s="190" t="s">
        <v>205</v>
      </c>
      <c r="H94" s="191">
        <f>H93/0.16</f>
        <v>856.25</v>
      </c>
      <c r="I94" s="191"/>
      <c r="J94" s="191">
        <f>ROUND(I94*H94,3)</f>
        <v>0</v>
      </c>
      <c r="K94" s="189" t="s">
        <v>156</v>
      </c>
      <c r="L94" s="199"/>
      <c r="M94" s="200" t="s">
        <v>9</v>
      </c>
      <c r="N94" s="201" t="s">
        <v>27</v>
      </c>
      <c r="O94" s="177">
        <v>0</v>
      </c>
      <c r="P94" s="177">
        <f>O94*H94</f>
        <v>0</v>
      </c>
      <c r="Q94" s="177">
        <v>1.4999999999999999E-2</v>
      </c>
      <c r="R94" s="177">
        <f>Q94*H94</f>
        <v>12.84375</v>
      </c>
      <c r="S94" s="177">
        <v>0</v>
      </c>
      <c r="T94" s="178">
        <f>S94*H94</f>
        <v>0</v>
      </c>
      <c r="AR94" s="128" t="s">
        <v>264</v>
      </c>
      <c r="AT94" s="128" t="s">
        <v>261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265</v>
      </c>
    </row>
    <row r="95" spans="2:65" s="26" customFormat="1" ht="16.5" customHeight="1" x14ac:dyDescent="0.25">
      <c r="B95" s="169"/>
      <c r="C95" s="187" t="s">
        <v>132</v>
      </c>
      <c r="D95" s="187" t="s">
        <v>261</v>
      </c>
      <c r="E95" s="188" t="s">
        <v>268</v>
      </c>
      <c r="F95" s="189" t="s">
        <v>550</v>
      </c>
      <c r="G95" s="190" t="s">
        <v>205</v>
      </c>
      <c r="H95" s="191">
        <v>2587.7800000000002</v>
      </c>
      <c r="I95" s="191"/>
      <c r="J95" s="191">
        <f>ROUND(I95*H95,3)</f>
        <v>0</v>
      </c>
      <c r="K95" s="189" t="s">
        <v>156</v>
      </c>
      <c r="L95" s="199"/>
      <c r="M95" s="200" t="s">
        <v>9</v>
      </c>
      <c r="N95" s="201" t="s">
        <v>27</v>
      </c>
      <c r="O95" s="177">
        <v>0</v>
      </c>
      <c r="P95" s="177">
        <f>O95*H95</f>
        <v>0</v>
      </c>
      <c r="Q95" s="177">
        <v>6.9999999999999994E-5</v>
      </c>
      <c r="R95" s="177">
        <f>Q95*H95</f>
        <v>0.18114459999999999</v>
      </c>
      <c r="S95" s="177">
        <v>0</v>
      </c>
      <c r="T95" s="178">
        <f>S95*H95</f>
        <v>0</v>
      </c>
      <c r="AR95" s="128" t="s">
        <v>264</v>
      </c>
      <c r="AT95" s="128" t="s">
        <v>261</v>
      </c>
      <c r="AU95" s="128" t="s">
        <v>88</v>
      </c>
      <c r="AY95" s="128" t="s">
        <v>126</v>
      </c>
      <c r="BE95" s="138">
        <f>IF(N95="základná",J95,0)</f>
        <v>0</v>
      </c>
      <c r="BF95" s="138">
        <f>IF(N95="znížená",J95,0)</f>
        <v>0</v>
      </c>
      <c r="BG95" s="138">
        <f>IF(N95="zákl. prenesená",J95,0)</f>
        <v>0</v>
      </c>
      <c r="BH95" s="138">
        <f>IF(N95="zníž. prenesená",J95,0)</f>
        <v>0</v>
      </c>
      <c r="BI95" s="138">
        <f>IF(N95="nulová",J95,0)</f>
        <v>0</v>
      </c>
      <c r="BJ95" s="128" t="s">
        <v>88</v>
      </c>
      <c r="BK95" s="166">
        <f>ROUND(I95*H95,3)</f>
        <v>0</v>
      </c>
      <c r="BL95" s="128" t="s">
        <v>132</v>
      </c>
      <c r="BM95" s="128" t="s">
        <v>270</v>
      </c>
    </row>
    <row r="96" spans="2:65" s="26" customFormat="1" ht="16.5" customHeight="1" x14ac:dyDescent="0.25">
      <c r="B96" s="169"/>
      <c r="C96" s="170" t="s">
        <v>422</v>
      </c>
      <c r="D96" s="170" t="s">
        <v>129</v>
      </c>
      <c r="E96" s="171" t="s">
        <v>272</v>
      </c>
      <c r="F96" s="172" t="s">
        <v>423</v>
      </c>
      <c r="G96" s="173" t="s">
        <v>136</v>
      </c>
      <c r="H96" s="174">
        <f>H106*0.7</f>
        <v>1025.5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0.20899999999999999</v>
      </c>
      <c r="P96" s="177">
        <f>O96*H96</f>
        <v>214.3295</v>
      </c>
      <c r="Q96" s="177">
        <v>6.5300000000000002E-3</v>
      </c>
      <c r="R96" s="177">
        <f>Q96*H96</f>
        <v>6.6965150000000007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274</v>
      </c>
    </row>
    <row r="97" spans="2:65" s="26" customFormat="1" x14ac:dyDescent="0.25">
      <c r="B97" s="132"/>
      <c r="D97" s="179" t="s">
        <v>161</v>
      </c>
      <c r="E97" s="128" t="s">
        <v>9</v>
      </c>
      <c r="F97" s="143" t="s">
        <v>275</v>
      </c>
      <c r="H97" s="166"/>
      <c r="L97" s="132"/>
      <c r="M97" s="180"/>
      <c r="T97" s="181"/>
      <c r="AT97" s="128" t="s">
        <v>161</v>
      </c>
      <c r="AU97" s="128" t="s">
        <v>88</v>
      </c>
      <c r="AV97" s="26" t="s">
        <v>88</v>
      </c>
      <c r="AW97" s="26" t="s">
        <v>163</v>
      </c>
      <c r="AX97" s="26" t="s">
        <v>42</v>
      </c>
      <c r="AY97" s="128" t="s">
        <v>126</v>
      </c>
    </row>
    <row r="98" spans="2:65" s="158" customFormat="1" ht="22.9" customHeight="1" x14ac:dyDescent="0.2">
      <c r="B98" s="157"/>
      <c r="D98" s="159" t="s">
        <v>123</v>
      </c>
      <c r="E98" s="167" t="s">
        <v>276</v>
      </c>
      <c r="F98" s="167" t="s">
        <v>277</v>
      </c>
      <c r="J98" s="168">
        <f>SUM(J99)</f>
        <v>0</v>
      </c>
      <c r="L98" s="157"/>
      <c r="M98" s="162"/>
      <c r="P98" s="163">
        <f>P99</f>
        <v>4.4074200000000001</v>
      </c>
      <c r="R98" s="163">
        <f>R99</f>
        <v>0</v>
      </c>
      <c r="T98" s="164">
        <f>T99</f>
        <v>0</v>
      </c>
      <c r="AR98" s="159" t="s">
        <v>42</v>
      </c>
      <c r="AT98" s="165" t="s">
        <v>123</v>
      </c>
      <c r="AU98" s="165" t="s">
        <v>42</v>
      </c>
      <c r="AY98" s="159" t="s">
        <v>126</v>
      </c>
      <c r="BK98" s="166">
        <f>BK99</f>
        <v>0</v>
      </c>
    </row>
    <row r="99" spans="2:65" s="26" customFormat="1" ht="16.5" customHeight="1" x14ac:dyDescent="0.25">
      <c r="B99" s="169"/>
      <c r="C99" s="170" t="s">
        <v>127</v>
      </c>
      <c r="D99" s="170" t="s">
        <v>129</v>
      </c>
      <c r="E99" s="171" t="s">
        <v>278</v>
      </c>
      <c r="F99" s="172" t="s">
        <v>279</v>
      </c>
      <c r="G99" s="173" t="s">
        <v>146</v>
      </c>
      <c r="H99" s="174">
        <v>12.962999999999999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0.34</v>
      </c>
      <c r="P99" s="177">
        <f>O99*H99</f>
        <v>4.4074200000000001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280</v>
      </c>
    </row>
    <row r="100" spans="2:65" s="158" customFormat="1" ht="25.9" customHeight="1" x14ac:dyDescent="0.2">
      <c r="B100" s="157"/>
      <c r="D100" s="159" t="s">
        <v>123</v>
      </c>
      <c r="E100" s="160" t="s">
        <v>191</v>
      </c>
      <c r="F100" s="160" t="s">
        <v>192</v>
      </c>
      <c r="J100" s="161">
        <f>J101+J117+J122+J133+J136</f>
        <v>0</v>
      </c>
      <c r="L100" s="157"/>
      <c r="M100" s="162"/>
      <c r="P100" s="163">
        <f>P101+P117+P122+P133</f>
        <v>1723.0283740000002</v>
      </c>
      <c r="R100" s="163">
        <f>R101+R117+R122+R133</f>
        <v>31.021608750000002</v>
      </c>
      <c r="T100" s="164">
        <f>T101+T117+T122+T133</f>
        <v>0</v>
      </c>
      <c r="AR100" s="159" t="s">
        <v>88</v>
      </c>
      <c r="AT100" s="165" t="s">
        <v>123</v>
      </c>
      <c r="AU100" s="165" t="s">
        <v>39</v>
      </c>
      <c r="AY100" s="159" t="s">
        <v>126</v>
      </c>
      <c r="BK100" s="166">
        <f>BK101+BK117+BK122+BK133</f>
        <v>0</v>
      </c>
    </row>
    <row r="101" spans="2:65" s="158" customFormat="1" ht="22.9" customHeight="1" x14ac:dyDescent="0.2">
      <c r="B101" s="157"/>
      <c r="D101" s="159" t="s">
        <v>123</v>
      </c>
      <c r="E101" s="167" t="s">
        <v>193</v>
      </c>
      <c r="F101" s="167" t="s">
        <v>194</v>
      </c>
      <c r="J101" s="168">
        <f>SUM(J102:J116)</f>
        <v>0</v>
      </c>
      <c r="L101" s="157"/>
      <c r="M101" s="162"/>
      <c r="P101" s="163">
        <f>SUM(P102:P116)</f>
        <v>974.59998000000007</v>
      </c>
      <c r="R101" s="163">
        <f>SUM(R102:R116)</f>
        <v>25.521120000000003</v>
      </c>
      <c r="T101" s="164">
        <f>SUM(T102:T116)</f>
        <v>0</v>
      </c>
      <c r="AR101" s="159" t="s">
        <v>88</v>
      </c>
      <c r="AT101" s="165" t="s">
        <v>123</v>
      </c>
      <c r="AU101" s="165" t="s">
        <v>42</v>
      </c>
      <c r="AY101" s="159" t="s">
        <v>126</v>
      </c>
      <c r="BK101" s="166">
        <f>SUM(BK102:BK116)</f>
        <v>0</v>
      </c>
    </row>
    <row r="102" spans="2:65" s="26" customFormat="1" ht="16.5" customHeight="1" x14ac:dyDescent="0.25">
      <c r="B102" s="169"/>
      <c r="C102" s="170" t="s">
        <v>424</v>
      </c>
      <c r="D102" s="170" t="s">
        <v>129</v>
      </c>
      <c r="E102" s="171" t="s">
        <v>281</v>
      </c>
      <c r="F102" s="172" t="s">
        <v>282</v>
      </c>
      <c r="G102" s="173" t="s">
        <v>136</v>
      </c>
      <c r="H102" s="174">
        <f>H106+H107</f>
        <v>1919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4.3029999999999999E-2</v>
      </c>
      <c r="P102" s="177">
        <f>O102*H102</f>
        <v>82.574569999999994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283</v>
      </c>
    </row>
    <row r="103" spans="2:65" s="26" customFormat="1" ht="16.5" customHeight="1" x14ac:dyDescent="0.25">
      <c r="B103" s="169"/>
      <c r="C103" s="187" t="s">
        <v>264</v>
      </c>
      <c r="D103" s="187" t="s">
        <v>261</v>
      </c>
      <c r="E103" s="188" t="s">
        <v>284</v>
      </c>
      <c r="F103" s="189" t="s">
        <v>285</v>
      </c>
      <c r="G103" s="190" t="s">
        <v>146</v>
      </c>
      <c r="H103" s="191">
        <f>H102*0.00075</f>
        <v>1.4392500000000001</v>
      </c>
      <c r="I103" s="191"/>
      <c r="J103" s="191">
        <f>ROUND(I103*H103,3)</f>
        <v>0</v>
      </c>
      <c r="K103" s="189" t="s">
        <v>156</v>
      </c>
      <c r="L103" s="199"/>
      <c r="M103" s="200" t="s">
        <v>9</v>
      </c>
      <c r="N103" s="201" t="s">
        <v>27</v>
      </c>
      <c r="O103" s="177">
        <v>0</v>
      </c>
      <c r="P103" s="177">
        <f>O103*H103</f>
        <v>0</v>
      </c>
      <c r="Q103" s="177">
        <v>1</v>
      </c>
      <c r="R103" s="177">
        <f>Q103*H103</f>
        <v>1.4392500000000001</v>
      </c>
      <c r="S103" s="177">
        <v>0</v>
      </c>
      <c r="T103" s="178">
        <f>S103*H103</f>
        <v>0</v>
      </c>
      <c r="AR103" s="128" t="s">
        <v>286</v>
      </c>
      <c r="AT103" s="128" t="s">
        <v>261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287</v>
      </c>
    </row>
    <row r="104" spans="2:65" s="26" customFormat="1" ht="22.5" customHeight="1" x14ac:dyDescent="0.25">
      <c r="B104" s="169"/>
      <c r="C104" s="170" t="s">
        <v>138</v>
      </c>
      <c r="D104" s="170" t="s">
        <v>129</v>
      </c>
      <c r="E104" s="171" t="s">
        <v>289</v>
      </c>
      <c r="F104" s="172" t="s">
        <v>290</v>
      </c>
      <c r="G104" s="173" t="s">
        <v>136</v>
      </c>
      <c r="H104" s="174">
        <v>289.33999999999997</v>
      </c>
      <c r="I104" s="174"/>
      <c r="J104" s="174">
        <f>ROUND(I104*H104,3)</f>
        <v>0</v>
      </c>
      <c r="K104" s="172" t="s">
        <v>156</v>
      </c>
      <c r="L104" s="132"/>
      <c r="M104" s="175" t="s">
        <v>9</v>
      </c>
      <c r="N104" s="176" t="s">
        <v>27</v>
      </c>
      <c r="O104" s="177">
        <v>0.17499999999999999</v>
      </c>
      <c r="P104" s="177">
        <f>O104*H104</f>
        <v>50.634499999999996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28" t="s">
        <v>197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197</v>
      </c>
      <c r="BM104" s="128" t="s">
        <v>291</v>
      </c>
    </row>
    <row r="105" spans="2:65" s="26" customFormat="1" x14ac:dyDescent="0.25">
      <c r="B105" s="132"/>
      <c r="D105" s="179" t="s">
        <v>161</v>
      </c>
      <c r="E105" s="128" t="s">
        <v>9</v>
      </c>
      <c r="F105" s="143" t="s">
        <v>551</v>
      </c>
      <c r="H105" s="166">
        <v>289.33999999999997</v>
      </c>
      <c r="L105" s="132"/>
      <c r="M105" s="180"/>
      <c r="T105" s="181"/>
      <c r="AT105" s="128" t="s">
        <v>161</v>
      </c>
      <c r="AU105" s="128" t="s">
        <v>88</v>
      </c>
      <c r="AV105" s="26" t="s">
        <v>88</v>
      </c>
      <c r="AW105" s="26" t="s">
        <v>163</v>
      </c>
      <c r="AX105" s="26" t="s">
        <v>42</v>
      </c>
      <c r="AY105" s="128" t="s">
        <v>126</v>
      </c>
    </row>
    <row r="106" spans="2:65" s="26" customFormat="1" ht="22.5" customHeight="1" x14ac:dyDescent="0.25">
      <c r="B106" s="169"/>
      <c r="C106" s="170" t="s">
        <v>427</v>
      </c>
      <c r="D106" s="170" t="s">
        <v>129</v>
      </c>
      <c r="E106" s="171" t="s">
        <v>293</v>
      </c>
      <c r="F106" s="172" t="s">
        <v>294</v>
      </c>
      <c r="G106" s="173" t="s">
        <v>136</v>
      </c>
      <c r="H106" s="174">
        <v>1465</v>
      </c>
      <c r="I106" s="174"/>
      <c r="J106" s="174">
        <f>ROUND(I106*H106,3)</f>
        <v>0</v>
      </c>
      <c r="K106" s="172" t="s">
        <v>156</v>
      </c>
      <c r="L106" s="132"/>
      <c r="M106" s="175" t="s">
        <v>9</v>
      </c>
      <c r="N106" s="176" t="s">
        <v>27</v>
      </c>
      <c r="O106" s="177">
        <v>0.43458000000000002</v>
      </c>
      <c r="P106" s="177">
        <f>O106*H106</f>
        <v>636.65970000000004</v>
      </c>
      <c r="Q106" s="177">
        <v>9.8999999999999999E-4</v>
      </c>
      <c r="R106" s="177">
        <f>Q106*H106</f>
        <v>1.45035</v>
      </c>
      <c r="S106" s="177">
        <v>0</v>
      </c>
      <c r="T106" s="178">
        <f>S106*H106</f>
        <v>0</v>
      </c>
      <c r="AR106" s="128" t="s">
        <v>197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197</v>
      </c>
      <c r="BM106" s="128" t="s">
        <v>295</v>
      </c>
    </row>
    <row r="107" spans="2:65" s="26" customFormat="1" ht="22.5" customHeight="1" x14ac:dyDescent="0.25">
      <c r="B107" s="169"/>
      <c r="C107" s="170" t="s">
        <v>428</v>
      </c>
      <c r="D107" s="170" t="s">
        <v>129</v>
      </c>
      <c r="E107" s="171" t="s">
        <v>296</v>
      </c>
      <c r="F107" s="172" t="s">
        <v>297</v>
      </c>
      <c r="G107" s="173" t="s">
        <v>136</v>
      </c>
      <c r="H107" s="174">
        <v>454</v>
      </c>
      <c r="I107" s="174"/>
      <c r="J107" s="174">
        <f>ROUND(I107*H107,3)</f>
        <v>0</v>
      </c>
      <c r="K107" s="172" t="s">
        <v>9</v>
      </c>
      <c r="L107" s="132"/>
      <c r="M107" s="175" t="s">
        <v>9</v>
      </c>
      <c r="N107" s="176" t="s">
        <v>27</v>
      </c>
      <c r="O107" s="177">
        <v>0.435</v>
      </c>
      <c r="P107" s="177">
        <f>O107*H107</f>
        <v>197.49</v>
      </c>
      <c r="Q107" s="177">
        <v>9.8999999999999999E-4</v>
      </c>
      <c r="R107" s="177">
        <f>Q107*H107</f>
        <v>0.44945999999999997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298</v>
      </c>
    </row>
    <row r="108" spans="2:65" s="26" customFormat="1" ht="16.5" customHeight="1" x14ac:dyDescent="0.25">
      <c r="B108" s="169"/>
      <c r="C108" s="187" t="s">
        <v>429</v>
      </c>
      <c r="D108" s="187" t="s">
        <v>261</v>
      </c>
      <c r="E108" s="188" t="s">
        <v>299</v>
      </c>
      <c r="F108" s="189" t="s">
        <v>300</v>
      </c>
      <c r="G108" s="190" t="s">
        <v>136</v>
      </c>
      <c r="H108" s="191">
        <f>H109</f>
        <v>2206.85</v>
      </c>
      <c r="I108" s="191"/>
      <c r="J108" s="191">
        <f>ROUND(I108*H108,3)</f>
        <v>0</v>
      </c>
      <c r="K108" s="189" t="s">
        <v>156</v>
      </c>
      <c r="L108" s="199"/>
      <c r="M108" s="200" t="s">
        <v>9</v>
      </c>
      <c r="N108" s="201" t="s">
        <v>27</v>
      </c>
      <c r="O108" s="177">
        <v>0</v>
      </c>
      <c r="P108" s="177">
        <f>O108*H108</f>
        <v>0</v>
      </c>
      <c r="Q108" s="177">
        <v>5.0000000000000001E-3</v>
      </c>
      <c r="R108" s="177">
        <f>Q108*H108</f>
        <v>11.03425</v>
      </c>
      <c r="S108" s="177">
        <v>0</v>
      </c>
      <c r="T108" s="178">
        <f>S108*H108</f>
        <v>0</v>
      </c>
      <c r="AR108" s="128" t="s">
        <v>286</v>
      </c>
      <c r="AT108" s="128" t="s">
        <v>261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301</v>
      </c>
    </row>
    <row r="109" spans="2:65" s="26" customFormat="1" x14ac:dyDescent="0.25">
      <c r="B109" s="132"/>
      <c r="D109" s="179" t="s">
        <v>161</v>
      </c>
      <c r="F109" s="143" t="s">
        <v>552</v>
      </c>
      <c r="H109" s="166">
        <f>(H106+H107)*1.15</f>
        <v>2206.85</v>
      </c>
      <c r="L109" s="132"/>
      <c r="M109" s="180"/>
      <c r="T109" s="181"/>
      <c r="AT109" s="128" t="s">
        <v>161</v>
      </c>
      <c r="AU109" s="128" t="s">
        <v>88</v>
      </c>
      <c r="AV109" s="26" t="s">
        <v>88</v>
      </c>
      <c r="AW109" s="26" t="s">
        <v>1</v>
      </c>
      <c r="AX109" s="26" t="s">
        <v>42</v>
      </c>
      <c r="AY109" s="128" t="s">
        <v>126</v>
      </c>
    </row>
    <row r="110" spans="2:65" s="26" customFormat="1" ht="16.5" customHeight="1" x14ac:dyDescent="0.25">
      <c r="B110" s="169"/>
      <c r="C110" s="187" t="s">
        <v>431</v>
      </c>
      <c r="D110" s="187" t="s">
        <v>261</v>
      </c>
      <c r="E110" s="188" t="s">
        <v>303</v>
      </c>
      <c r="F110" s="189" t="s">
        <v>304</v>
      </c>
      <c r="G110" s="190" t="s">
        <v>136</v>
      </c>
      <c r="H110" s="191">
        <f>H108</f>
        <v>2206.85</v>
      </c>
      <c r="I110" s="191"/>
      <c r="J110" s="191">
        <f>ROUND(I110*H110,3)</f>
        <v>0</v>
      </c>
      <c r="K110" s="189" t="s">
        <v>9</v>
      </c>
      <c r="L110" s="199"/>
      <c r="M110" s="200" t="s">
        <v>9</v>
      </c>
      <c r="N110" s="201" t="s">
        <v>27</v>
      </c>
      <c r="O110" s="177">
        <v>0</v>
      </c>
      <c r="P110" s="177">
        <f>O110*H110</f>
        <v>0</v>
      </c>
      <c r="Q110" s="177">
        <v>5.0000000000000001E-3</v>
      </c>
      <c r="R110" s="177">
        <f>Q110*H110</f>
        <v>11.03425</v>
      </c>
      <c r="S110" s="177">
        <v>0</v>
      </c>
      <c r="T110" s="178">
        <f>S110*H110</f>
        <v>0</v>
      </c>
      <c r="AR110" s="128" t="s">
        <v>286</v>
      </c>
      <c r="AT110" s="128" t="s">
        <v>261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197</v>
      </c>
      <c r="BM110" s="128" t="s">
        <v>305</v>
      </c>
    </row>
    <row r="111" spans="2:65" s="26" customFormat="1" ht="16.5" customHeight="1" x14ac:dyDescent="0.25">
      <c r="B111" s="169"/>
      <c r="C111" s="170" t="s">
        <v>432</v>
      </c>
      <c r="D111" s="170" t="s">
        <v>129</v>
      </c>
      <c r="E111" s="171" t="s">
        <v>306</v>
      </c>
      <c r="F111" s="172" t="s">
        <v>307</v>
      </c>
      <c r="G111" s="173" t="s">
        <v>234</v>
      </c>
      <c r="H111" s="174">
        <f>H123+H125+H127+H129</f>
        <v>551.1</v>
      </c>
      <c r="I111" s="174"/>
      <c r="J111" s="174">
        <f t="shared" ref="J111:J116" si="0">ROUND(I111*H111,3)</f>
        <v>0</v>
      </c>
      <c r="K111" s="172" t="s">
        <v>9</v>
      </c>
      <c r="L111" s="132"/>
      <c r="M111" s="175" t="s">
        <v>9</v>
      </c>
      <c r="N111" s="176" t="s">
        <v>27</v>
      </c>
      <c r="O111" s="177">
        <v>0</v>
      </c>
      <c r="P111" s="177">
        <f t="shared" ref="P111:P116" si="1">O111*H111</f>
        <v>0</v>
      </c>
      <c r="Q111" s="177">
        <v>0</v>
      </c>
      <c r="R111" s="177">
        <f t="shared" ref="R111:R116" si="2">Q111*H111</f>
        <v>0</v>
      </c>
      <c r="S111" s="177">
        <v>0</v>
      </c>
      <c r="T111" s="178">
        <f t="shared" ref="T111:T116" si="3">S111*H111</f>
        <v>0</v>
      </c>
      <c r="AR111" s="128" t="s">
        <v>197</v>
      </c>
      <c r="AT111" s="128" t="s">
        <v>129</v>
      </c>
      <c r="AU111" s="128" t="s">
        <v>88</v>
      </c>
      <c r="AY111" s="128" t="s">
        <v>126</v>
      </c>
      <c r="BE111" s="138">
        <f t="shared" ref="BE111:BE116" si="4">IF(N111="základná",J111,0)</f>
        <v>0</v>
      </c>
      <c r="BF111" s="138">
        <f t="shared" ref="BF111:BF116" si="5">IF(N111="znížená",J111,0)</f>
        <v>0</v>
      </c>
      <c r="BG111" s="138">
        <f t="shared" ref="BG111:BG116" si="6">IF(N111="zákl. prenesená",J111,0)</f>
        <v>0</v>
      </c>
      <c r="BH111" s="138">
        <f t="shared" ref="BH111:BH116" si="7">IF(N111="zníž. prenesená",J111,0)</f>
        <v>0</v>
      </c>
      <c r="BI111" s="138">
        <f t="shared" ref="BI111:BI116" si="8">IF(N111="nulová",J111,0)</f>
        <v>0</v>
      </c>
      <c r="BJ111" s="128" t="s">
        <v>88</v>
      </c>
      <c r="BK111" s="166">
        <f t="shared" ref="BK111:BK116" si="9">ROUND(I111*H111,3)</f>
        <v>0</v>
      </c>
      <c r="BL111" s="128" t="s">
        <v>197</v>
      </c>
      <c r="BM111" s="128" t="s">
        <v>308</v>
      </c>
    </row>
    <row r="112" spans="2:65" s="26" customFormat="1" ht="16.5" customHeight="1" x14ac:dyDescent="0.25">
      <c r="B112" s="169"/>
      <c r="C112" s="170" t="s">
        <v>433</v>
      </c>
      <c r="D112" s="170" t="s">
        <v>129</v>
      </c>
      <c r="E112" s="171" t="s">
        <v>309</v>
      </c>
      <c r="F112" s="172" t="s">
        <v>310</v>
      </c>
      <c r="G112" s="173" t="s">
        <v>136</v>
      </c>
      <c r="H112" s="174">
        <v>137</v>
      </c>
      <c r="I112" s="174"/>
      <c r="J112" s="174">
        <f t="shared" si="0"/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2.8049999999999999E-2</v>
      </c>
      <c r="P112" s="177">
        <f t="shared" si="1"/>
        <v>3.8428499999999999</v>
      </c>
      <c r="Q112" s="177">
        <v>0</v>
      </c>
      <c r="R112" s="177">
        <f t="shared" si="2"/>
        <v>0</v>
      </c>
      <c r="S112" s="177">
        <v>0</v>
      </c>
      <c r="T112" s="178">
        <f t="shared" si="3"/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 t="shared" si="4"/>
        <v>0</v>
      </c>
      <c r="BF112" s="138">
        <f t="shared" si="5"/>
        <v>0</v>
      </c>
      <c r="BG112" s="138">
        <f t="shared" si="6"/>
        <v>0</v>
      </c>
      <c r="BH112" s="138">
        <f t="shared" si="7"/>
        <v>0</v>
      </c>
      <c r="BI112" s="138">
        <f t="shared" si="8"/>
        <v>0</v>
      </c>
      <c r="BJ112" s="128" t="s">
        <v>88</v>
      </c>
      <c r="BK112" s="166">
        <f t="shared" si="9"/>
        <v>0</v>
      </c>
      <c r="BL112" s="128" t="s">
        <v>197</v>
      </c>
      <c r="BM112" s="128" t="s">
        <v>311</v>
      </c>
    </row>
    <row r="113" spans="2:65" s="26" customFormat="1" ht="16.5" customHeight="1" x14ac:dyDescent="0.25">
      <c r="B113" s="169"/>
      <c r="C113" s="187" t="s">
        <v>197</v>
      </c>
      <c r="D113" s="187" t="s">
        <v>261</v>
      </c>
      <c r="E113" s="188" t="s">
        <v>312</v>
      </c>
      <c r="F113" s="189" t="s">
        <v>313</v>
      </c>
      <c r="G113" s="190" t="s">
        <v>136</v>
      </c>
      <c r="H113" s="191">
        <v>157.55000000000001</v>
      </c>
      <c r="I113" s="191"/>
      <c r="J113" s="191">
        <f t="shared" si="0"/>
        <v>0</v>
      </c>
      <c r="K113" s="189" t="s">
        <v>156</v>
      </c>
      <c r="L113" s="199"/>
      <c r="M113" s="200" t="s">
        <v>9</v>
      </c>
      <c r="N113" s="201" t="s">
        <v>27</v>
      </c>
      <c r="O113" s="177">
        <v>0</v>
      </c>
      <c r="P113" s="177">
        <f t="shared" si="1"/>
        <v>0</v>
      </c>
      <c r="Q113" s="177">
        <v>4.0000000000000002E-4</v>
      </c>
      <c r="R113" s="177">
        <f t="shared" si="2"/>
        <v>6.3020000000000007E-2</v>
      </c>
      <c r="S113" s="177">
        <v>0</v>
      </c>
      <c r="T113" s="178">
        <f t="shared" si="3"/>
        <v>0</v>
      </c>
      <c r="AR113" s="128" t="s">
        <v>286</v>
      </c>
      <c r="AT113" s="128" t="s">
        <v>261</v>
      </c>
      <c r="AU113" s="128" t="s">
        <v>88</v>
      </c>
      <c r="AY113" s="128" t="s">
        <v>126</v>
      </c>
      <c r="BE113" s="138">
        <f t="shared" si="4"/>
        <v>0</v>
      </c>
      <c r="BF113" s="138">
        <f t="shared" si="5"/>
        <v>0</v>
      </c>
      <c r="BG113" s="138">
        <f t="shared" si="6"/>
        <v>0</v>
      </c>
      <c r="BH113" s="138">
        <f t="shared" si="7"/>
        <v>0</v>
      </c>
      <c r="BI113" s="138">
        <f t="shared" si="8"/>
        <v>0</v>
      </c>
      <c r="BJ113" s="128" t="s">
        <v>88</v>
      </c>
      <c r="BK113" s="166">
        <f t="shared" si="9"/>
        <v>0</v>
      </c>
      <c r="BL113" s="128" t="s">
        <v>197</v>
      </c>
      <c r="BM113" s="128" t="s">
        <v>314</v>
      </c>
    </row>
    <row r="114" spans="2:65" s="26" customFormat="1" ht="16.5" customHeight="1" x14ac:dyDescent="0.25">
      <c r="B114" s="169"/>
      <c r="C114" s="170" t="s">
        <v>434</v>
      </c>
      <c r="D114" s="170" t="s">
        <v>129</v>
      </c>
      <c r="E114" s="171" t="s">
        <v>316</v>
      </c>
      <c r="F114" s="172" t="s">
        <v>317</v>
      </c>
      <c r="G114" s="173" t="s">
        <v>205</v>
      </c>
      <c r="H114" s="174">
        <v>14</v>
      </c>
      <c r="I114" s="174"/>
      <c r="J114" s="174">
        <f t="shared" si="0"/>
        <v>0</v>
      </c>
      <c r="K114" s="172" t="s">
        <v>9</v>
      </c>
      <c r="L114" s="132"/>
      <c r="M114" s="175" t="s">
        <v>9</v>
      </c>
      <c r="N114" s="176" t="s">
        <v>27</v>
      </c>
      <c r="O114" s="177">
        <v>0.24274000000000001</v>
      </c>
      <c r="P114" s="177">
        <f t="shared" si="1"/>
        <v>3.3983600000000003</v>
      </c>
      <c r="Q114" s="177">
        <v>2.7599999999999999E-3</v>
      </c>
      <c r="R114" s="177">
        <f t="shared" si="2"/>
        <v>3.8640000000000001E-2</v>
      </c>
      <c r="S114" s="177">
        <v>0</v>
      </c>
      <c r="T114" s="178">
        <f t="shared" si="3"/>
        <v>0</v>
      </c>
      <c r="AR114" s="128" t="s">
        <v>197</v>
      </c>
      <c r="AT114" s="128" t="s">
        <v>129</v>
      </c>
      <c r="AU114" s="128" t="s">
        <v>88</v>
      </c>
      <c r="AY114" s="128" t="s">
        <v>126</v>
      </c>
      <c r="BE114" s="138">
        <f t="shared" si="4"/>
        <v>0</v>
      </c>
      <c r="BF114" s="138">
        <f t="shared" si="5"/>
        <v>0</v>
      </c>
      <c r="BG114" s="138">
        <f t="shared" si="6"/>
        <v>0</v>
      </c>
      <c r="BH114" s="138">
        <f t="shared" si="7"/>
        <v>0</v>
      </c>
      <c r="BI114" s="138">
        <f t="shared" si="8"/>
        <v>0</v>
      </c>
      <c r="BJ114" s="128" t="s">
        <v>88</v>
      </c>
      <c r="BK114" s="166">
        <f t="shared" si="9"/>
        <v>0</v>
      </c>
      <c r="BL114" s="128" t="s">
        <v>197</v>
      </c>
      <c r="BM114" s="128" t="s">
        <v>318</v>
      </c>
    </row>
    <row r="115" spans="2:65" s="26" customFormat="1" ht="16.5" customHeight="1" x14ac:dyDescent="0.25">
      <c r="B115" s="169"/>
      <c r="C115" s="187" t="s">
        <v>435</v>
      </c>
      <c r="D115" s="187" t="s">
        <v>261</v>
      </c>
      <c r="E115" s="188" t="s">
        <v>319</v>
      </c>
      <c r="F115" s="189" t="s">
        <v>320</v>
      </c>
      <c r="G115" s="190" t="s">
        <v>205</v>
      </c>
      <c r="H115" s="191">
        <v>14</v>
      </c>
      <c r="I115" s="191"/>
      <c r="J115" s="191">
        <f t="shared" si="0"/>
        <v>0</v>
      </c>
      <c r="K115" s="189" t="s">
        <v>9</v>
      </c>
      <c r="L115" s="199"/>
      <c r="M115" s="200" t="s">
        <v>9</v>
      </c>
      <c r="N115" s="201" t="s">
        <v>27</v>
      </c>
      <c r="O115" s="177">
        <v>0</v>
      </c>
      <c r="P115" s="177">
        <f t="shared" si="1"/>
        <v>0</v>
      </c>
      <c r="Q115" s="177">
        <v>8.4999999999999995E-4</v>
      </c>
      <c r="R115" s="177">
        <f t="shared" si="2"/>
        <v>1.1899999999999999E-2</v>
      </c>
      <c r="S115" s="177">
        <v>0</v>
      </c>
      <c r="T115" s="178">
        <f t="shared" si="3"/>
        <v>0</v>
      </c>
      <c r="AR115" s="128" t="s">
        <v>286</v>
      </c>
      <c r="AT115" s="128" t="s">
        <v>261</v>
      </c>
      <c r="AU115" s="128" t="s">
        <v>88</v>
      </c>
      <c r="AY115" s="128" t="s">
        <v>126</v>
      </c>
      <c r="BE115" s="138">
        <f t="shared" si="4"/>
        <v>0</v>
      </c>
      <c r="BF115" s="138">
        <f t="shared" si="5"/>
        <v>0</v>
      </c>
      <c r="BG115" s="138">
        <f t="shared" si="6"/>
        <v>0</v>
      </c>
      <c r="BH115" s="138">
        <f t="shared" si="7"/>
        <v>0</v>
      </c>
      <c r="BI115" s="138">
        <f t="shared" si="8"/>
        <v>0</v>
      </c>
      <c r="BJ115" s="128" t="s">
        <v>88</v>
      </c>
      <c r="BK115" s="166">
        <f t="shared" si="9"/>
        <v>0</v>
      </c>
      <c r="BL115" s="128" t="s">
        <v>197</v>
      </c>
      <c r="BM115" s="128" t="s">
        <v>321</v>
      </c>
    </row>
    <row r="116" spans="2:65" s="26" customFormat="1" ht="16.5" customHeight="1" x14ac:dyDescent="0.25">
      <c r="B116" s="169"/>
      <c r="C116" s="170" t="s">
        <v>436</v>
      </c>
      <c r="D116" s="170" t="s">
        <v>129</v>
      </c>
      <c r="E116" s="171" t="s">
        <v>322</v>
      </c>
      <c r="F116" s="172" t="s">
        <v>323</v>
      </c>
      <c r="G116" s="173" t="s">
        <v>324</v>
      </c>
      <c r="H116" s="174">
        <f>SUM(J102:J115)/100*1.3</f>
        <v>0</v>
      </c>
      <c r="I116" s="174"/>
      <c r="J116" s="174">
        <f t="shared" si="0"/>
        <v>0</v>
      </c>
      <c r="K116" s="172" t="s">
        <v>156</v>
      </c>
      <c r="L116" s="132"/>
      <c r="M116" s="175" t="s">
        <v>9</v>
      </c>
      <c r="N116" s="176" t="s">
        <v>27</v>
      </c>
      <c r="O116" s="177">
        <v>0</v>
      </c>
      <c r="P116" s="177">
        <f t="shared" si="1"/>
        <v>0</v>
      </c>
      <c r="Q116" s="177">
        <v>0</v>
      </c>
      <c r="R116" s="177">
        <f t="shared" si="2"/>
        <v>0</v>
      </c>
      <c r="S116" s="177">
        <v>0</v>
      </c>
      <c r="T116" s="178">
        <f t="shared" si="3"/>
        <v>0</v>
      </c>
      <c r="AR116" s="128" t="s">
        <v>197</v>
      </c>
      <c r="AT116" s="128" t="s">
        <v>129</v>
      </c>
      <c r="AU116" s="128" t="s">
        <v>88</v>
      </c>
      <c r="AY116" s="128" t="s">
        <v>126</v>
      </c>
      <c r="BE116" s="138">
        <f t="shared" si="4"/>
        <v>0</v>
      </c>
      <c r="BF116" s="138">
        <f t="shared" si="5"/>
        <v>0</v>
      </c>
      <c r="BG116" s="138">
        <f t="shared" si="6"/>
        <v>0</v>
      </c>
      <c r="BH116" s="138">
        <f t="shared" si="7"/>
        <v>0</v>
      </c>
      <c r="BI116" s="138">
        <f t="shared" si="8"/>
        <v>0</v>
      </c>
      <c r="BJ116" s="128" t="s">
        <v>88</v>
      </c>
      <c r="BK116" s="166">
        <f t="shared" si="9"/>
        <v>0</v>
      </c>
      <c r="BL116" s="128" t="s">
        <v>197</v>
      </c>
      <c r="BM116" s="128" t="s">
        <v>325</v>
      </c>
    </row>
    <row r="117" spans="2:65" s="158" customFormat="1" ht="22.9" customHeight="1" x14ac:dyDescent="0.2">
      <c r="B117" s="157"/>
      <c r="D117" s="159" t="s">
        <v>123</v>
      </c>
      <c r="E117" s="167" t="s">
        <v>326</v>
      </c>
      <c r="F117" s="167" t="s">
        <v>327</v>
      </c>
      <c r="J117" s="168">
        <f>SUM(J118:J121)</f>
        <v>0</v>
      </c>
      <c r="L117" s="157"/>
      <c r="M117" s="162"/>
      <c r="P117" s="163">
        <f>SUM(P118:P121)</f>
        <v>225.06880000000004</v>
      </c>
      <c r="R117" s="163">
        <f>SUM(R118:R121)</f>
        <v>3.2128457500000005</v>
      </c>
      <c r="T117" s="164">
        <f>SUM(T118:T121)</f>
        <v>0</v>
      </c>
      <c r="AR117" s="159" t="s">
        <v>88</v>
      </c>
      <c r="AT117" s="165" t="s">
        <v>123</v>
      </c>
      <c r="AU117" s="165" t="s">
        <v>42</v>
      </c>
      <c r="AY117" s="159" t="s">
        <v>126</v>
      </c>
      <c r="BK117" s="166">
        <f>SUM(BK118:BK121)</f>
        <v>0</v>
      </c>
    </row>
    <row r="118" spans="2:65" s="26" customFormat="1" ht="16.5" customHeight="1" x14ac:dyDescent="0.25">
      <c r="B118" s="169"/>
      <c r="C118" s="170" t="s">
        <v>3</v>
      </c>
      <c r="D118" s="170" t="s">
        <v>129</v>
      </c>
      <c r="E118" s="171" t="s">
        <v>328</v>
      </c>
      <c r="F118" s="172" t="s">
        <v>329</v>
      </c>
      <c r="G118" s="173" t="s">
        <v>136</v>
      </c>
      <c r="H118" s="174">
        <f>434*1.05</f>
        <v>455.70000000000005</v>
      </c>
      <c r="I118" s="174"/>
      <c r="J118" s="174">
        <f>ROUND(I118*H118,3)</f>
        <v>0</v>
      </c>
      <c r="K118" s="172" t="s">
        <v>156</v>
      </c>
      <c r="L118" s="132"/>
      <c r="M118" s="175" t="s">
        <v>9</v>
      </c>
      <c r="N118" s="176" t="s">
        <v>27</v>
      </c>
      <c r="O118" s="177">
        <v>0.46400000000000002</v>
      </c>
      <c r="P118" s="177">
        <f>O118*H118</f>
        <v>211.44480000000004</v>
      </c>
      <c r="Q118" s="177">
        <v>4.0000000000000001E-3</v>
      </c>
      <c r="R118" s="177">
        <f>Q118*H118</f>
        <v>1.8228000000000002</v>
      </c>
      <c r="S118" s="177">
        <v>0</v>
      </c>
      <c r="T118" s="178">
        <f>S118*H118</f>
        <v>0</v>
      </c>
      <c r="AR118" s="128" t="s">
        <v>197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197</v>
      </c>
      <c r="BM118" s="128" t="s">
        <v>330</v>
      </c>
    </row>
    <row r="119" spans="2:65" s="26" customFormat="1" ht="16.5" customHeight="1" x14ac:dyDescent="0.25">
      <c r="B119" s="169"/>
      <c r="C119" s="187" t="s">
        <v>437</v>
      </c>
      <c r="D119" s="187" t="s">
        <v>261</v>
      </c>
      <c r="E119" s="188" t="s">
        <v>331</v>
      </c>
      <c r="F119" s="189" t="s">
        <v>332</v>
      </c>
      <c r="G119" s="190" t="s">
        <v>136</v>
      </c>
      <c r="H119" s="191">
        <f>H118*1.15</f>
        <v>524.05500000000006</v>
      </c>
      <c r="I119" s="191"/>
      <c r="J119" s="191">
        <f>ROUND(I119*H119,3)</f>
        <v>0</v>
      </c>
      <c r="K119" s="189" t="s">
        <v>156</v>
      </c>
      <c r="L119" s="199"/>
      <c r="M119" s="200" t="s">
        <v>9</v>
      </c>
      <c r="N119" s="201" t="s">
        <v>27</v>
      </c>
      <c r="O119" s="177">
        <v>0</v>
      </c>
      <c r="P119" s="177">
        <f>O119*H119</f>
        <v>0</v>
      </c>
      <c r="Q119" s="177">
        <v>2.65E-3</v>
      </c>
      <c r="R119" s="177">
        <f>Q119*H119</f>
        <v>1.3887457500000002</v>
      </c>
      <c r="S119" s="177">
        <v>0</v>
      </c>
      <c r="T119" s="178">
        <f>S119*H119</f>
        <v>0</v>
      </c>
      <c r="AR119" s="128" t="s">
        <v>286</v>
      </c>
      <c r="AT119" s="128" t="s">
        <v>261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333</v>
      </c>
    </row>
    <row r="120" spans="2:65" s="26" customFormat="1" ht="16.5" customHeight="1" x14ac:dyDescent="0.25">
      <c r="B120" s="169"/>
      <c r="C120" s="170" t="s">
        <v>438</v>
      </c>
      <c r="D120" s="170" t="s">
        <v>129</v>
      </c>
      <c r="E120" s="171" t="s">
        <v>335</v>
      </c>
      <c r="F120" s="172" t="s">
        <v>336</v>
      </c>
      <c r="G120" s="173" t="s">
        <v>234</v>
      </c>
      <c r="H120" s="174">
        <v>26</v>
      </c>
      <c r="I120" s="174"/>
      <c r="J120" s="174">
        <f>ROUND(I120*H120,3)</f>
        <v>0</v>
      </c>
      <c r="K120" s="172" t="s">
        <v>9</v>
      </c>
      <c r="L120" s="132"/>
      <c r="M120" s="175" t="s">
        <v>9</v>
      </c>
      <c r="N120" s="176" t="s">
        <v>27</v>
      </c>
      <c r="O120" s="177">
        <v>0.52400000000000002</v>
      </c>
      <c r="P120" s="177">
        <f>O120*H120</f>
        <v>13.624000000000001</v>
      </c>
      <c r="Q120" s="177">
        <v>5.0000000000000002E-5</v>
      </c>
      <c r="R120" s="177">
        <f>Q120*H120</f>
        <v>1.3000000000000002E-3</v>
      </c>
      <c r="S120" s="177">
        <v>0</v>
      </c>
      <c r="T120" s="178">
        <f>S120*H120</f>
        <v>0</v>
      </c>
      <c r="AR120" s="128" t="s">
        <v>197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337</v>
      </c>
    </row>
    <row r="121" spans="2:65" s="26" customFormat="1" ht="16.5" customHeight="1" x14ac:dyDescent="0.25">
      <c r="B121" s="169"/>
      <c r="C121" s="170" t="s">
        <v>439</v>
      </c>
      <c r="D121" s="170" t="s">
        <v>129</v>
      </c>
      <c r="E121" s="171" t="s">
        <v>338</v>
      </c>
      <c r="F121" s="172" t="s">
        <v>339</v>
      </c>
      <c r="G121" s="173" t="s">
        <v>324</v>
      </c>
      <c r="H121" s="174">
        <f>SUM(J118:J120)/100*1.3</f>
        <v>0</v>
      </c>
      <c r="I121" s="174"/>
      <c r="J121" s="174">
        <f>ROUND(I121*H121,3)</f>
        <v>0</v>
      </c>
      <c r="K121" s="172" t="s">
        <v>156</v>
      </c>
      <c r="L121" s="132"/>
      <c r="M121" s="175" t="s">
        <v>9</v>
      </c>
      <c r="N121" s="176" t="s">
        <v>27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340</v>
      </c>
    </row>
    <row r="122" spans="2:65" s="158" customFormat="1" ht="22.9" customHeight="1" x14ac:dyDescent="0.2">
      <c r="B122" s="157"/>
      <c r="D122" s="159" t="s">
        <v>123</v>
      </c>
      <c r="E122" s="167" t="s">
        <v>223</v>
      </c>
      <c r="F122" s="167" t="s">
        <v>224</v>
      </c>
      <c r="J122" s="168">
        <f>SUM(J123:J132)</f>
        <v>0</v>
      </c>
      <c r="L122" s="157"/>
      <c r="M122" s="162"/>
      <c r="P122" s="163">
        <f>SUM(P123:P132)</f>
        <v>522.80959400000006</v>
      </c>
      <c r="R122" s="163">
        <f>SUM(R123:R132)</f>
        <v>2.2875529999999999</v>
      </c>
      <c r="T122" s="164">
        <f>SUM(T123:T132)</f>
        <v>0</v>
      </c>
      <c r="AR122" s="159" t="s">
        <v>88</v>
      </c>
      <c r="AT122" s="165" t="s">
        <v>123</v>
      </c>
      <c r="AU122" s="165" t="s">
        <v>42</v>
      </c>
      <c r="AY122" s="159" t="s">
        <v>126</v>
      </c>
      <c r="BK122" s="166">
        <f>SUM(BK123:BK132)</f>
        <v>0</v>
      </c>
    </row>
    <row r="123" spans="2:65" s="26" customFormat="1" ht="16.5" customHeight="1" x14ac:dyDescent="0.25">
      <c r="B123" s="169"/>
      <c r="C123" s="170" t="s">
        <v>440</v>
      </c>
      <c r="D123" s="170" t="s">
        <v>129</v>
      </c>
      <c r="E123" s="171" t="s">
        <v>341</v>
      </c>
      <c r="F123" s="172" t="s">
        <v>342</v>
      </c>
      <c r="G123" s="173" t="s">
        <v>230</v>
      </c>
      <c r="H123" s="174">
        <f>158*1.1</f>
        <v>173.8</v>
      </c>
      <c r="I123" s="174"/>
      <c r="J123" s="174">
        <f>ROUND(I123*H123,3)</f>
        <v>0</v>
      </c>
      <c r="K123" s="172" t="s">
        <v>156</v>
      </c>
      <c r="L123" s="132"/>
      <c r="M123" s="175" t="s">
        <v>9</v>
      </c>
      <c r="N123" s="176" t="s">
        <v>27</v>
      </c>
      <c r="O123" s="177">
        <v>0.44508999999999999</v>
      </c>
      <c r="P123" s="177">
        <f>O123*H123</f>
        <v>77.356642000000008</v>
      </c>
      <c r="Q123" s="177">
        <v>2.0899999999999998E-3</v>
      </c>
      <c r="R123" s="177">
        <f>Q123*H123</f>
        <v>0.36324200000000001</v>
      </c>
      <c r="S123" s="177">
        <v>0</v>
      </c>
      <c r="T123" s="178">
        <f>S123*H123</f>
        <v>0</v>
      </c>
      <c r="AR123" s="128" t="s">
        <v>197</v>
      </c>
      <c r="AT123" s="128" t="s">
        <v>129</v>
      </c>
      <c r="AU123" s="128" t="s">
        <v>88</v>
      </c>
      <c r="AY123" s="128" t="s">
        <v>126</v>
      </c>
      <c r="BE123" s="138">
        <f>IF(N123="základná",J123,0)</f>
        <v>0</v>
      </c>
      <c r="BF123" s="138">
        <f>IF(N123="znížená",J123,0)</f>
        <v>0</v>
      </c>
      <c r="BG123" s="138">
        <f>IF(N123="zákl. prenesená",J123,0)</f>
        <v>0</v>
      </c>
      <c r="BH123" s="138">
        <f>IF(N123="zníž. prenesená",J123,0)</f>
        <v>0</v>
      </c>
      <c r="BI123" s="138">
        <f>IF(N123="nulová",J123,0)</f>
        <v>0</v>
      </c>
      <c r="BJ123" s="128" t="s">
        <v>88</v>
      </c>
      <c r="BK123" s="166">
        <f>ROUND(I123*H123,3)</f>
        <v>0</v>
      </c>
      <c r="BL123" s="128" t="s">
        <v>197</v>
      </c>
      <c r="BM123" s="128" t="s">
        <v>343</v>
      </c>
    </row>
    <row r="124" spans="2:65" s="26" customFormat="1" ht="16.5" customHeight="1" x14ac:dyDescent="0.25">
      <c r="B124" s="169"/>
      <c r="C124" s="170" t="s">
        <v>441</v>
      </c>
      <c r="D124" s="170" t="s">
        <v>129</v>
      </c>
      <c r="E124" s="171" t="s">
        <v>344</v>
      </c>
      <c r="F124" s="172" t="s">
        <v>345</v>
      </c>
      <c r="G124" s="173" t="s">
        <v>205</v>
      </c>
      <c r="H124" s="174">
        <v>50</v>
      </c>
      <c r="I124" s="174"/>
      <c r="J124" s="174">
        <f>ROUND(I124*H124,3)</f>
        <v>0</v>
      </c>
      <c r="K124" s="172" t="s">
        <v>9</v>
      </c>
      <c r="L124" s="132"/>
      <c r="M124" s="175" t="s">
        <v>9</v>
      </c>
      <c r="N124" s="176" t="s">
        <v>27</v>
      </c>
      <c r="O124" s="177">
        <v>1.3879999999999999</v>
      </c>
      <c r="P124" s="177">
        <f>O124*H124</f>
        <v>69.399999999999991</v>
      </c>
      <c r="Q124" s="177">
        <v>8.0000000000000004E-4</v>
      </c>
      <c r="R124" s="177">
        <f>Q124*H124</f>
        <v>0.04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346</v>
      </c>
    </row>
    <row r="125" spans="2:65" s="26" customFormat="1" ht="16.5" customHeight="1" x14ac:dyDescent="0.25">
      <c r="B125" s="169"/>
      <c r="C125" s="170" t="s">
        <v>442</v>
      </c>
      <c r="D125" s="170" t="s">
        <v>129</v>
      </c>
      <c r="E125" s="171" t="s">
        <v>351</v>
      </c>
      <c r="F125" s="172" t="s">
        <v>352</v>
      </c>
      <c r="G125" s="173" t="s">
        <v>230</v>
      </c>
      <c r="H125" s="174">
        <f>149*1.1</f>
        <v>163.9</v>
      </c>
      <c r="I125" s="174"/>
      <c r="J125" s="174">
        <f>ROUND(I125*H125,3)</f>
        <v>0</v>
      </c>
      <c r="K125" s="172" t="s">
        <v>156</v>
      </c>
      <c r="L125" s="132"/>
      <c r="M125" s="175" t="s">
        <v>9</v>
      </c>
      <c r="N125" s="176" t="s">
        <v>27</v>
      </c>
      <c r="O125" s="177">
        <v>0.83</v>
      </c>
      <c r="P125" s="177">
        <f>O125*H125</f>
        <v>136.03700000000001</v>
      </c>
      <c r="Q125" s="177">
        <v>4.2900000000000004E-3</v>
      </c>
      <c r="R125" s="177">
        <f>Q125*H125</f>
        <v>0.70313100000000006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353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354</v>
      </c>
      <c r="H126" s="166"/>
      <c r="L126" s="132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39</v>
      </c>
      <c r="AY126" s="128" t="s">
        <v>126</v>
      </c>
    </row>
    <row r="127" spans="2:65" s="26" customFormat="1" ht="16.5" customHeight="1" x14ac:dyDescent="0.25">
      <c r="B127" s="169"/>
      <c r="C127" s="170" t="s">
        <v>444</v>
      </c>
      <c r="D127" s="170" t="s">
        <v>129</v>
      </c>
      <c r="E127" s="171" t="s">
        <v>356</v>
      </c>
      <c r="F127" s="172" t="s">
        <v>357</v>
      </c>
      <c r="G127" s="173" t="s">
        <v>230</v>
      </c>
      <c r="H127" s="174">
        <f>168*1.1</f>
        <v>184.8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1.161</v>
      </c>
      <c r="P127" s="177">
        <f>O127*H127</f>
        <v>214.55280000000002</v>
      </c>
      <c r="Q127" s="177">
        <v>6.3699999999999998E-3</v>
      </c>
      <c r="R127" s="177">
        <f>Q127*H127</f>
        <v>1.177176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358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514</v>
      </c>
      <c r="H128" s="166"/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42</v>
      </c>
      <c r="AY128" s="128" t="s">
        <v>126</v>
      </c>
    </row>
    <row r="129" spans="2:65" s="26" customFormat="1" ht="16.5" customHeight="1" x14ac:dyDescent="0.25">
      <c r="B129" s="169"/>
      <c r="C129" s="170" t="s">
        <v>447</v>
      </c>
      <c r="D129" s="170" t="s">
        <v>129</v>
      </c>
      <c r="E129" s="171" t="s">
        <v>362</v>
      </c>
      <c r="F129" s="172" t="s">
        <v>363</v>
      </c>
      <c r="G129" s="173" t="s">
        <v>230</v>
      </c>
      <c r="H129" s="174">
        <f>26*1.1</f>
        <v>28.6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0.89032</v>
      </c>
      <c r="P129" s="177">
        <f>O129*H129</f>
        <v>25.463152000000001</v>
      </c>
      <c r="Q129" s="177">
        <v>1.3999999999999999E-4</v>
      </c>
      <c r="R129" s="177">
        <f>Q129*H129</f>
        <v>4.0039999999999997E-3</v>
      </c>
      <c r="S129" s="177">
        <v>0</v>
      </c>
      <c r="T129" s="178">
        <f>S129*H129</f>
        <v>0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364</v>
      </c>
    </row>
    <row r="130" spans="2:65" s="26" customFormat="1" ht="16.5" customHeight="1" x14ac:dyDescent="0.25">
      <c r="B130" s="169"/>
      <c r="C130" s="170" t="s">
        <v>448</v>
      </c>
      <c r="D130" s="170" t="s">
        <v>129</v>
      </c>
      <c r="E130" s="171" t="s">
        <v>365</v>
      </c>
      <c r="F130" s="172" t="s">
        <v>366</v>
      </c>
      <c r="G130" s="173" t="s">
        <v>234</v>
      </c>
      <c r="H130" s="174">
        <f>H123</f>
        <v>173.8</v>
      </c>
      <c r="I130" s="174"/>
      <c r="J130" s="174">
        <f>ROUND(I130*H130,3)</f>
        <v>0</v>
      </c>
      <c r="K130" s="172" t="s">
        <v>9</v>
      </c>
      <c r="L130" s="132"/>
      <c r="M130" s="175" t="s">
        <v>9</v>
      </c>
      <c r="N130" s="176" t="s">
        <v>27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367</v>
      </c>
    </row>
    <row r="131" spans="2:65" s="26" customFormat="1" ht="16.5" customHeight="1" x14ac:dyDescent="0.25">
      <c r="B131" s="169"/>
      <c r="C131" s="170" t="s">
        <v>449</v>
      </c>
      <c r="D131" s="170" t="s">
        <v>129</v>
      </c>
      <c r="E131" s="171" t="s">
        <v>360</v>
      </c>
      <c r="F131" s="172" t="s">
        <v>361</v>
      </c>
      <c r="G131" s="173" t="s">
        <v>230</v>
      </c>
      <c r="H131" s="174">
        <v>98</v>
      </c>
      <c r="I131" s="174"/>
      <c r="J131" s="174">
        <f>I131*H131</f>
        <v>0</v>
      </c>
      <c r="K131" s="172"/>
      <c r="AF131" s="128"/>
      <c r="AH131" s="128"/>
      <c r="AI131" s="128"/>
      <c r="AM131" s="128"/>
      <c r="AS131" s="138"/>
      <c r="AT131" s="138"/>
      <c r="AU131" s="138"/>
      <c r="AV131" s="138"/>
      <c r="AW131" s="138"/>
      <c r="AX131" s="128"/>
      <c r="AY131" s="166"/>
      <c r="AZ131" s="128"/>
      <c r="BA131" s="128"/>
    </row>
    <row r="132" spans="2:65" s="26" customFormat="1" ht="16.5" customHeight="1" x14ac:dyDescent="0.25">
      <c r="B132" s="169"/>
      <c r="C132" s="170" t="s">
        <v>450</v>
      </c>
      <c r="D132" s="170" t="s">
        <v>129</v>
      </c>
      <c r="E132" s="171" t="s">
        <v>368</v>
      </c>
      <c r="F132" s="172" t="s">
        <v>369</v>
      </c>
      <c r="G132" s="173" t="s">
        <v>324</v>
      </c>
      <c r="H132" s="174">
        <f>SUM(J123:J130)/100*1.3</f>
        <v>0</v>
      </c>
      <c r="I132" s="174"/>
      <c r="J132" s="174">
        <f>ROUND(I132*H132,3)</f>
        <v>0</v>
      </c>
      <c r="K132" s="172" t="s">
        <v>156</v>
      </c>
      <c r="L132" s="132"/>
      <c r="M132" s="175" t="s">
        <v>9</v>
      </c>
      <c r="N132" s="176" t="s">
        <v>27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370</v>
      </c>
    </row>
    <row r="133" spans="2:65" s="158" customFormat="1" ht="22.9" customHeight="1" x14ac:dyDescent="0.2">
      <c r="B133" s="157"/>
      <c r="D133" s="159" t="s">
        <v>123</v>
      </c>
      <c r="E133" s="167" t="s">
        <v>242</v>
      </c>
      <c r="F133" s="167" t="s">
        <v>243</v>
      </c>
      <c r="J133" s="168">
        <f>SUM(J134:J135)</f>
        <v>0</v>
      </c>
      <c r="L133" s="157"/>
      <c r="M133" s="162"/>
      <c r="P133" s="163">
        <f>SUM(P134:P135)</f>
        <v>0.55000000000000004</v>
      </c>
      <c r="R133" s="163">
        <f>SUM(R134:R135)</f>
        <v>9.0000000000000006E-5</v>
      </c>
      <c r="T133" s="164">
        <f>SUM(T134:T135)</f>
        <v>0</v>
      </c>
      <c r="AR133" s="159" t="s">
        <v>88</v>
      </c>
      <c r="AT133" s="165" t="s">
        <v>123</v>
      </c>
      <c r="AU133" s="165" t="s">
        <v>42</v>
      </c>
      <c r="AY133" s="159" t="s">
        <v>126</v>
      </c>
      <c r="BK133" s="166">
        <f>SUM(BK134:BK135)</f>
        <v>0</v>
      </c>
    </row>
    <row r="134" spans="2:65" s="26" customFormat="1" ht="16.5" customHeight="1" x14ac:dyDescent="0.25">
      <c r="B134" s="169"/>
      <c r="C134" s="170" t="s">
        <v>451</v>
      </c>
      <c r="D134" s="170" t="s">
        <v>129</v>
      </c>
      <c r="E134" s="171" t="s">
        <v>371</v>
      </c>
      <c r="F134" s="172" t="s">
        <v>372</v>
      </c>
      <c r="G134" s="173" t="s">
        <v>205</v>
      </c>
      <c r="H134" s="174">
        <v>1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0.55000000000000004</v>
      </c>
      <c r="P134" s="177">
        <f>O134*H134</f>
        <v>0.55000000000000004</v>
      </c>
      <c r="Q134" s="177">
        <v>9.0000000000000006E-5</v>
      </c>
      <c r="R134" s="177">
        <f>Q134*H134</f>
        <v>9.0000000000000006E-5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373</v>
      </c>
    </row>
    <row r="135" spans="2:65" s="26" customFormat="1" ht="16.5" customHeight="1" x14ac:dyDescent="0.25">
      <c r="B135" s="169"/>
      <c r="C135" s="170" t="s">
        <v>286</v>
      </c>
      <c r="D135" s="170" t="s">
        <v>129</v>
      </c>
      <c r="E135" s="171" t="s">
        <v>374</v>
      </c>
      <c r="F135" s="172" t="s">
        <v>375</v>
      </c>
      <c r="G135" s="173" t="s">
        <v>324</v>
      </c>
      <c r="H135" s="174">
        <v>1.008</v>
      </c>
      <c r="I135" s="174"/>
      <c r="J135" s="174">
        <f>ROUND(I135*H135,3)</f>
        <v>0</v>
      </c>
      <c r="K135" s="172" t="s">
        <v>156</v>
      </c>
      <c r="L135" s="132"/>
      <c r="M135" s="175" t="s">
        <v>9</v>
      </c>
      <c r="N135" s="176" t="s">
        <v>27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376</v>
      </c>
    </row>
    <row r="136" spans="2:65" s="158" customFormat="1" ht="22.9" customHeight="1" x14ac:dyDescent="0.2">
      <c r="B136" s="157"/>
      <c r="D136" s="159"/>
      <c r="E136" s="167" t="s">
        <v>377</v>
      </c>
      <c r="F136" s="167" t="s">
        <v>378</v>
      </c>
      <c r="J136" s="168">
        <f>SUM(J137:J139)</f>
        <v>0</v>
      </c>
      <c r="L136" s="157"/>
      <c r="M136" s="162"/>
      <c r="P136" s="163"/>
      <c r="R136" s="163"/>
      <c r="T136" s="164"/>
      <c r="AR136" s="159"/>
      <c r="AT136" s="165"/>
      <c r="AU136" s="165"/>
      <c r="AY136" s="159"/>
      <c r="BK136" s="166"/>
    </row>
    <row r="137" spans="2:65" s="26" customFormat="1" ht="16.5" customHeight="1" x14ac:dyDescent="0.25">
      <c r="B137" s="169"/>
      <c r="C137" s="170" t="s">
        <v>452</v>
      </c>
      <c r="D137" s="170" t="s">
        <v>129</v>
      </c>
      <c r="E137" s="171" t="s">
        <v>379</v>
      </c>
      <c r="F137" s="172" t="s">
        <v>380</v>
      </c>
      <c r="G137" s="173" t="s">
        <v>136</v>
      </c>
      <c r="H137" s="174">
        <v>15</v>
      </c>
      <c r="I137" s="174"/>
      <c r="J137" s="174">
        <f>ROUND(I137*H137,3)</f>
        <v>0</v>
      </c>
      <c r="K137" s="172" t="s">
        <v>156</v>
      </c>
      <c r="L137" s="132"/>
      <c r="M137" s="175" t="s">
        <v>9</v>
      </c>
      <c r="N137" s="176" t="s">
        <v>27</v>
      </c>
      <c r="O137" s="177">
        <v>0</v>
      </c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128" t="s">
        <v>197</v>
      </c>
      <c r="AT137" s="128" t="s">
        <v>129</v>
      </c>
      <c r="AU137" s="128" t="s">
        <v>88</v>
      </c>
      <c r="AY137" s="128" t="s">
        <v>126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28" t="s">
        <v>88</v>
      </c>
      <c r="BK137" s="166">
        <f>ROUND(I137*H137,3)</f>
        <v>0</v>
      </c>
      <c r="BL137" s="128" t="s">
        <v>197</v>
      </c>
      <c r="BM137" s="128" t="s">
        <v>376</v>
      </c>
    </row>
    <row r="138" spans="2:65" s="26" customFormat="1" ht="16.5" customHeight="1" x14ac:dyDescent="0.25">
      <c r="B138" s="169"/>
      <c r="C138" s="170"/>
      <c r="D138" s="170"/>
      <c r="E138" s="171"/>
      <c r="F138" s="172" t="s">
        <v>453</v>
      </c>
      <c r="G138" s="173"/>
      <c r="H138" s="174"/>
      <c r="I138" s="174"/>
      <c r="J138" s="174"/>
      <c r="K138" s="172"/>
      <c r="L138" s="132"/>
      <c r="M138" s="175"/>
      <c r="N138" s="176"/>
      <c r="O138" s="177"/>
      <c r="P138" s="177"/>
      <c r="Q138" s="177"/>
      <c r="R138" s="177"/>
      <c r="S138" s="177"/>
      <c r="T138" s="178"/>
      <c r="AR138" s="128"/>
      <c r="AT138" s="128"/>
      <c r="AU138" s="128"/>
      <c r="AY138" s="128"/>
      <c r="BE138" s="138"/>
      <c r="BF138" s="138"/>
      <c r="BG138" s="138"/>
      <c r="BH138" s="138"/>
      <c r="BI138" s="138"/>
      <c r="BJ138" s="128"/>
      <c r="BK138" s="166"/>
      <c r="BL138" s="128"/>
      <c r="BM138" s="128"/>
    </row>
    <row r="139" spans="2:65" s="26" customFormat="1" ht="16.5" customHeight="1" x14ac:dyDescent="0.25">
      <c r="B139" s="169"/>
      <c r="C139" s="170">
        <v>34</v>
      </c>
      <c r="D139" s="170"/>
      <c r="E139" s="171" t="s">
        <v>381</v>
      </c>
      <c r="F139" s="172" t="s">
        <v>382</v>
      </c>
      <c r="G139" s="173" t="s">
        <v>136</v>
      </c>
      <c r="H139" s="174">
        <f>H137</f>
        <v>15</v>
      </c>
      <c r="I139" s="174"/>
      <c r="J139" s="174">
        <f>ROUND(I139*H139,3)</f>
        <v>0</v>
      </c>
      <c r="K139" s="172"/>
      <c r="L139" s="132"/>
      <c r="M139" s="175"/>
      <c r="N139" s="176"/>
      <c r="O139" s="177"/>
      <c r="P139" s="177"/>
      <c r="Q139" s="177"/>
      <c r="R139" s="177"/>
      <c r="S139" s="177"/>
      <c r="T139" s="178"/>
      <c r="AR139" s="128"/>
      <c r="AT139" s="128"/>
      <c r="AU139" s="128"/>
      <c r="AY139" s="128"/>
      <c r="BE139" s="138"/>
      <c r="BF139" s="138"/>
      <c r="BG139" s="138"/>
      <c r="BH139" s="138"/>
      <c r="BI139" s="138"/>
      <c r="BJ139" s="128"/>
      <c r="BK139" s="166"/>
      <c r="BL139" s="128"/>
      <c r="BM139" s="128"/>
    </row>
    <row r="140" spans="2:65" s="158" customFormat="1" ht="25.9" customHeight="1" x14ac:dyDescent="0.2">
      <c r="B140" s="157"/>
      <c r="D140" s="159" t="s">
        <v>123</v>
      </c>
      <c r="E140" s="160" t="s">
        <v>261</v>
      </c>
      <c r="F140" s="160" t="s">
        <v>383</v>
      </c>
      <c r="J140" s="161">
        <f>J141</f>
        <v>0</v>
      </c>
      <c r="L140" s="157"/>
      <c r="M140" s="162"/>
      <c r="P140" s="163">
        <f>P141</f>
        <v>0.15</v>
      </c>
      <c r="R140" s="163">
        <f>R141</f>
        <v>0</v>
      </c>
      <c r="T140" s="164">
        <f>T141</f>
        <v>0</v>
      </c>
      <c r="AR140" s="159" t="s">
        <v>140</v>
      </c>
      <c r="AT140" s="165" t="s">
        <v>123</v>
      </c>
      <c r="AU140" s="165" t="s">
        <v>39</v>
      </c>
      <c r="AY140" s="159" t="s">
        <v>126</v>
      </c>
      <c r="BK140" s="166">
        <f>BK141</f>
        <v>0</v>
      </c>
    </row>
    <row r="141" spans="2:65" s="158" customFormat="1" ht="22.9" customHeight="1" x14ac:dyDescent="0.2">
      <c r="B141" s="157"/>
      <c r="D141" s="159" t="s">
        <v>123</v>
      </c>
      <c r="E141" s="167" t="s">
        <v>384</v>
      </c>
      <c r="F141" s="167" t="s">
        <v>385</v>
      </c>
      <c r="J141" s="168">
        <f>SUM(J142)</f>
        <v>0</v>
      </c>
      <c r="L141" s="157"/>
      <c r="M141" s="162"/>
      <c r="P141" s="163">
        <f>P142</f>
        <v>0.15</v>
      </c>
      <c r="R141" s="163">
        <f>R142</f>
        <v>0</v>
      </c>
      <c r="T141" s="164">
        <f>T142</f>
        <v>0</v>
      </c>
      <c r="AR141" s="159" t="s">
        <v>140</v>
      </c>
      <c r="AT141" s="165" t="s">
        <v>123</v>
      </c>
      <c r="AU141" s="165" t="s">
        <v>42</v>
      </c>
      <c r="AY141" s="159" t="s">
        <v>126</v>
      </c>
      <c r="BK141" s="166">
        <f>BK142</f>
        <v>0</v>
      </c>
    </row>
    <row r="142" spans="2:65" s="26" customFormat="1" ht="16.5" customHeight="1" x14ac:dyDescent="0.25">
      <c r="B142" s="169"/>
      <c r="C142" s="170">
        <v>35</v>
      </c>
      <c r="D142" s="170" t="s">
        <v>129</v>
      </c>
      <c r="E142" s="171" t="s">
        <v>386</v>
      </c>
      <c r="F142" s="172" t="s">
        <v>387</v>
      </c>
      <c r="G142" s="173" t="s">
        <v>153</v>
      </c>
      <c r="H142" s="174">
        <v>1</v>
      </c>
      <c r="I142" s="174"/>
      <c r="J142" s="174">
        <f>ROUND(I142*H142,3)</f>
        <v>0</v>
      </c>
      <c r="K142" s="172" t="s">
        <v>9</v>
      </c>
      <c r="L142" s="132"/>
      <c r="M142" s="183" t="s">
        <v>9</v>
      </c>
      <c r="N142" s="184" t="s">
        <v>27</v>
      </c>
      <c r="O142" s="185">
        <v>0.15</v>
      </c>
      <c r="P142" s="185">
        <f>O142*H142</f>
        <v>0.15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AR142" s="128" t="s">
        <v>388</v>
      </c>
      <c r="AT142" s="128" t="s">
        <v>129</v>
      </c>
      <c r="AU142" s="128" t="s">
        <v>88</v>
      </c>
      <c r="AY142" s="128" t="s">
        <v>126</v>
      </c>
      <c r="BE142" s="138">
        <f>IF(N142="základná",J142,0)</f>
        <v>0</v>
      </c>
      <c r="BF142" s="138">
        <f>IF(N142="znížená",J142,0)</f>
        <v>0</v>
      </c>
      <c r="BG142" s="138">
        <f>IF(N142="zákl. prenesená",J142,0)</f>
        <v>0</v>
      </c>
      <c r="BH142" s="138">
        <f>IF(N142="zníž. prenesená",J142,0)</f>
        <v>0</v>
      </c>
      <c r="BI142" s="138">
        <f>IF(N142="nulová",J142,0)</f>
        <v>0</v>
      </c>
      <c r="BJ142" s="128" t="s">
        <v>88</v>
      </c>
      <c r="BK142" s="166">
        <f>ROUND(I142*H142,3)</f>
        <v>0</v>
      </c>
      <c r="BL142" s="128" t="s">
        <v>388</v>
      </c>
      <c r="BM142" s="128" t="s">
        <v>389</v>
      </c>
    </row>
    <row r="143" spans="2:65" s="26" customFormat="1" ht="16.5" customHeight="1" x14ac:dyDescent="0.25">
      <c r="B143" s="169"/>
      <c r="C143" s="194"/>
      <c r="D143" s="194"/>
      <c r="E143" s="195"/>
      <c r="F143" s="196"/>
      <c r="G143" s="197"/>
      <c r="H143" s="198"/>
      <c r="I143" s="198"/>
      <c r="J143" s="198"/>
      <c r="K143" s="196"/>
      <c r="L143" s="132"/>
      <c r="M143" s="128"/>
      <c r="N143" s="176"/>
      <c r="O143" s="177"/>
      <c r="P143" s="177"/>
      <c r="Q143" s="177"/>
      <c r="R143" s="177"/>
      <c r="S143" s="177"/>
      <c r="T143" s="177"/>
      <c r="AR143" s="128"/>
      <c r="AT143" s="128"/>
      <c r="AU143" s="128"/>
      <c r="AY143" s="128"/>
      <c r="BE143" s="138"/>
      <c r="BF143" s="138"/>
      <c r="BG143" s="138"/>
      <c r="BH143" s="138"/>
      <c r="BI143" s="138"/>
      <c r="BJ143" s="128"/>
      <c r="BK143" s="166"/>
      <c r="BL143" s="128"/>
      <c r="BM143" s="128"/>
    </row>
    <row r="144" spans="2:65" s="158" customFormat="1" ht="25.9" customHeight="1" x14ac:dyDescent="0.2">
      <c r="B144" s="157"/>
      <c r="D144" s="159"/>
      <c r="E144" s="160"/>
      <c r="F144" s="160" t="s">
        <v>390</v>
      </c>
      <c r="J144" s="161">
        <f>J145</f>
        <v>0</v>
      </c>
      <c r="L144" s="157"/>
      <c r="M144" s="162"/>
      <c r="P144" s="163">
        <f>P145</f>
        <v>0.66</v>
      </c>
      <c r="R144" s="163">
        <f>R145</f>
        <v>0</v>
      </c>
      <c r="T144" s="164">
        <f>T145</f>
        <v>0</v>
      </c>
      <c r="AR144" s="159" t="s">
        <v>140</v>
      </c>
      <c r="AT144" s="165" t="s">
        <v>123</v>
      </c>
      <c r="AU144" s="165" t="s">
        <v>39</v>
      </c>
      <c r="AY144" s="159" t="s">
        <v>126</v>
      </c>
      <c r="BK144" s="166">
        <f>BK145</f>
        <v>0</v>
      </c>
    </row>
    <row r="145" spans="2:65" s="158" customFormat="1" ht="22.9" customHeight="1" x14ac:dyDescent="0.2">
      <c r="B145" s="157"/>
      <c r="D145" s="159" t="s">
        <v>391</v>
      </c>
      <c r="E145" s="167">
        <v>0</v>
      </c>
      <c r="F145" s="167" t="s">
        <v>392</v>
      </c>
      <c r="J145" s="168">
        <f>SUM(J146:J149)</f>
        <v>0</v>
      </c>
      <c r="L145" s="157"/>
      <c r="M145" s="162"/>
      <c r="P145" s="163">
        <f>P146</f>
        <v>0.66</v>
      </c>
      <c r="R145" s="163">
        <f>R146</f>
        <v>0</v>
      </c>
      <c r="T145" s="164">
        <f>T146</f>
        <v>0</v>
      </c>
      <c r="AR145" s="159" t="s">
        <v>140</v>
      </c>
      <c r="AT145" s="165" t="s">
        <v>123</v>
      </c>
      <c r="AU145" s="165" t="s">
        <v>42</v>
      </c>
      <c r="AY145" s="159" t="s">
        <v>126</v>
      </c>
      <c r="BK145" s="166">
        <f>BK146</f>
        <v>0</v>
      </c>
    </row>
    <row r="146" spans="2:65" s="26" customFormat="1" ht="16.5" customHeight="1" x14ac:dyDescent="0.25">
      <c r="B146" s="169"/>
      <c r="C146" s="170">
        <v>36</v>
      </c>
      <c r="D146" s="170" t="s">
        <v>129</v>
      </c>
      <c r="E146" s="171" t="s">
        <v>393</v>
      </c>
      <c r="F146" s="172" t="s">
        <v>394</v>
      </c>
      <c r="G146" s="173" t="s">
        <v>324</v>
      </c>
      <c r="H146" s="174">
        <f>'[1]E-  montáž - skúška 1.1'!H148</f>
        <v>4.4000000000000004</v>
      </c>
      <c r="I146" s="174"/>
      <c r="J146" s="174">
        <f>ROUND(I146*H146,3)</f>
        <v>0</v>
      </c>
      <c r="K146" s="172" t="s">
        <v>9</v>
      </c>
      <c r="L146" s="132"/>
      <c r="M146" s="183" t="s">
        <v>9</v>
      </c>
      <c r="N146" s="184" t="s">
        <v>27</v>
      </c>
      <c r="O146" s="185">
        <v>0.15</v>
      </c>
      <c r="P146" s="185">
        <f>O146*H146</f>
        <v>0.66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AR146" s="128" t="s">
        <v>388</v>
      </c>
      <c r="AT146" s="128" t="s">
        <v>129</v>
      </c>
      <c r="AU146" s="128" t="s">
        <v>88</v>
      </c>
      <c r="AY146" s="128" t="s">
        <v>126</v>
      </c>
      <c r="BE146" s="138">
        <f>IF(N146="základná",J146,0)</f>
        <v>0</v>
      </c>
      <c r="BF146" s="138">
        <f>IF(N146="znížená",J146,0)</f>
        <v>0</v>
      </c>
      <c r="BG146" s="138">
        <f>IF(N146="zákl. prenesená",J146,0)</f>
        <v>0</v>
      </c>
      <c r="BH146" s="138">
        <f>IF(N146="zníž. prenesená",J146,0)</f>
        <v>0</v>
      </c>
      <c r="BI146" s="138">
        <f>IF(N146="nulová",J146,0)</f>
        <v>0</v>
      </c>
      <c r="BJ146" s="128" t="s">
        <v>88</v>
      </c>
      <c r="BK146" s="166">
        <f>ROUND(I146*H146,3)</f>
        <v>0</v>
      </c>
      <c r="BL146" s="128" t="s">
        <v>388</v>
      </c>
      <c r="BM146" s="128" t="s">
        <v>389</v>
      </c>
    </row>
    <row r="147" spans="2:65" s="26" customFormat="1" ht="16.5" customHeight="1" x14ac:dyDescent="0.25">
      <c r="B147" s="169"/>
      <c r="C147" s="170">
        <v>37</v>
      </c>
      <c r="D147" s="170" t="s">
        <v>129</v>
      </c>
      <c r="E147" s="171" t="s">
        <v>395</v>
      </c>
      <c r="F147" s="172" t="s">
        <v>396</v>
      </c>
      <c r="G147" s="173" t="s">
        <v>324</v>
      </c>
      <c r="H147" s="174">
        <f>'[1]E-  montáž - skúška 1.1'!H149</f>
        <v>1</v>
      </c>
      <c r="I147" s="174"/>
      <c r="J147" s="174">
        <f>ROUND(I147*H147,3)</f>
        <v>0</v>
      </c>
      <c r="K147" s="172" t="s">
        <v>9</v>
      </c>
      <c r="L147" s="132"/>
      <c r="M147" s="183" t="s">
        <v>9</v>
      </c>
      <c r="N147" s="184" t="s">
        <v>27</v>
      </c>
      <c r="O147" s="185">
        <v>0.15</v>
      </c>
      <c r="P147" s="185">
        <f>O147*H147</f>
        <v>0.15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28" t="s">
        <v>388</v>
      </c>
      <c r="AT147" s="128" t="s">
        <v>129</v>
      </c>
      <c r="AU147" s="128" t="s">
        <v>88</v>
      </c>
      <c r="AY147" s="128" t="s">
        <v>126</v>
      </c>
      <c r="BE147" s="138">
        <f>IF(N147="základná",J147,0)</f>
        <v>0</v>
      </c>
      <c r="BF147" s="138">
        <f>IF(N147="znížená",J147,0)</f>
        <v>0</v>
      </c>
      <c r="BG147" s="138">
        <f>IF(N147="zákl. prenesená",J147,0)</f>
        <v>0</v>
      </c>
      <c r="BH147" s="138">
        <f>IF(N147="zníž. prenesená",J147,0)</f>
        <v>0</v>
      </c>
      <c r="BI147" s="138">
        <f>IF(N147="nulová",J147,0)</f>
        <v>0</v>
      </c>
      <c r="BJ147" s="128" t="s">
        <v>88</v>
      </c>
      <c r="BK147" s="166">
        <f>ROUND(I147*H147,3)</f>
        <v>0</v>
      </c>
      <c r="BL147" s="128" t="s">
        <v>388</v>
      </c>
      <c r="BM147" s="128" t="s">
        <v>389</v>
      </c>
    </row>
    <row r="148" spans="2:65" s="26" customFormat="1" ht="16.5" customHeight="1" x14ac:dyDescent="0.25">
      <c r="B148" s="169"/>
      <c r="C148" s="170">
        <v>38</v>
      </c>
      <c r="D148" s="170" t="s">
        <v>129</v>
      </c>
      <c r="E148" s="171" t="s">
        <v>397</v>
      </c>
      <c r="F148" s="172" t="s">
        <v>398</v>
      </c>
      <c r="G148" s="173" t="s">
        <v>399</v>
      </c>
      <c r="H148" s="174">
        <f>H102*0.15</f>
        <v>287.84999999999997</v>
      </c>
      <c r="I148" s="174"/>
      <c r="J148" s="174">
        <f>ROUND(I148*H148,3)</f>
        <v>0</v>
      </c>
      <c r="K148" s="172"/>
      <c r="L148" s="132"/>
      <c r="M148" s="183"/>
      <c r="N148" s="184"/>
      <c r="O148" s="185"/>
      <c r="P148" s="185"/>
      <c r="Q148" s="185"/>
      <c r="R148" s="185"/>
      <c r="S148" s="185"/>
      <c r="T148" s="186"/>
      <c r="AR148" s="128"/>
      <c r="AT148" s="128"/>
      <c r="AU148" s="128"/>
      <c r="AY148" s="128"/>
      <c r="BE148" s="138"/>
      <c r="BF148" s="138"/>
      <c r="BG148" s="138"/>
      <c r="BH148" s="138"/>
      <c r="BI148" s="138"/>
      <c r="BJ148" s="128"/>
      <c r="BK148" s="166"/>
      <c r="BL148" s="128"/>
      <c r="BM148" s="128"/>
    </row>
    <row r="149" spans="2:65" s="26" customFormat="1" ht="16.5" customHeight="1" x14ac:dyDescent="0.25">
      <c r="B149" s="169"/>
      <c r="C149" s="170">
        <v>39</v>
      </c>
      <c r="D149" s="170" t="s">
        <v>129</v>
      </c>
      <c r="E149" s="171" t="s">
        <v>397</v>
      </c>
      <c r="F149" s="172" t="s">
        <v>401</v>
      </c>
      <c r="G149" s="173" t="s">
        <v>324</v>
      </c>
      <c r="H149" s="174">
        <f>'[1]E-  montáž - skúška 1.1'!H151</f>
        <v>12.1</v>
      </c>
      <c r="I149" s="174"/>
      <c r="J149" s="174">
        <f>ROUND(I149*H149,3)</f>
        <v>0</v>
      </c>
      <c r="K149" s="172" t="s">
        <v>9</v>
      </c>
      <c r="L149" s="132"/>
      <c r="M149" s="183" t="s">
        <v>9</v>
      </c>
      <c r="N149" s="184" t="s">
        <v>27</v>
      </c>
      <c r="O149" s="185">
        <v>0.15</v>
      </c>
      <c r="P149" s="185">
        <f>O149*H149</f>
        <v>1.8149999999999999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AR149" s="128" t="s">
        <v>388</v>
      </c>
      <c r="AT149" s="128" t="s">
        <v>129</v>
      </c>
      <c r="AU149" s="128" t="s">
        <v>88</v>
      </c>
      <c r="AY149" s="128" t="s">
        <v>126</v>
      </c>
      <c r="BE149" s="138">
        <f>IF(N149="základná",J149,0)</f>
        <v>0</v>
      </c>
      <c r="BF149" s="138">
        <f>IF(N149="znížená",J149,0)</f>
        <v>0</v>
      </c>
      <c r="BG149" s="138">
        <f>IF(N149="zákl. prenesená",J149,0)</f>
        <v>0</v>
      </c>
      <c r="BH149" s="138">
        <f>IF(N149="zníž. prenesená",J149,0)</f>
        <v>0</v>
      </c>
      <c r="BI149" s="138">
        <f>IF(N149="nulová",J149,0)</f>
        <v>0</v>
      </c>
      <c r="BJ149" s="128" t="s">
        <v>88</v>
      </c>
      <c r="BK149" s="166">
        <f>ROUND(I149*H149,3)</f>
        <v>0</v>
      </c>
      <c r="BL149" s="128" t="s">
        <v>388</v>
      </c>
      <c r="BM149" s="128" t="s">
        <v>389</v>
      </c>
    </row>
    <row r="150" spans="2:65" s="26" customFormat="1" ht="16.5" customHeight="1" x14ac:dyDescent="0.25">
      <c r="B150" s="169"/>
      <c r="C150" s="194"/>
      <c r="D150" s="194"/>
      <c r="E150" s="195"/>
      <c r="F150" s="196"/>
      <c r="G150" s="197"/>
      <c r="H150" s="198"/>
      <c r="I150" s="198"/>
      <c r="J150" s="198"/>
      <c r="K150" s="196"/>
      <c r="L150" s="132"/>
      <c r="M150" s="128"/>
      <c r="N150" s="176"/>
      <c r="O150" s="177"/>
      <c r="P150" s="177"/>
      <c r="Q150" s="177"/>
      <c r="R150" s="177"/>
      <c r="S150" s="177"/>
      <c r="T150" s="177"/>
      <c r="AR150" s="128"/>
      <c r="AT150" s="128"/>
      <c r="AU150" s="128"/>
      <c r="AY150" s="128"/>
      <c r="BE150" s="138"/>
      <c r="BF150" s="138"/>
      <c r="BG150" s="138"/>
      <c r="BH150" s="138"/>
      <c r="BI150" s="138"/>
      <c r="BJ150" s="128"/>
      <c r="BK150" s="166"/>
      <c r="BL150" s="128"/>
      <c r="BM150" s="128"/>
    </row>
    <row r="151" spans="2:65" s="26" customFormat="1" ht="6.95" customHeight="1" x14ac:dyDescent="0.25">
      <c r="B151" s="141"/>
      <c r="C151" s="36"/>
      <c r="D151" s="36"/>
      <c r="E151" s="36"/>
      <c r="F151" s="36"/>
      <c r="G151" s="36"/>
      <c r="H151" s="36"/>
      <c r="I151" s="36"/>
      <c r="J151" s="36"/>
      <c r="K151" s="36"/>
      <c r="L151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3"/>
  <sheetViews>
    <sheetView topLeftCell="A79" workbookViewId="0">
      <selection activeCell="I89" sqref="I89:I142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32.28515625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4" style="13" customWidth="1"/>
    <col min="23" max="23" width="10.5703125" style="13" customWidth="1"/>
    <col min="24" max="24" width="12.85546875" style="13" customWidth="1"/>
    <col min="25" max="25" width="9.42578125" style="13" customWidth="1"/>
    <col min="26" max="26" width="12.85546875" style="13" customWidth="1"/>
    <col min="27" max="27" width="14" style="13" customWidth="1"/>
    <col min="28" max="28" width="9.42578125" style="13" customWidth="1"/>
    <col min="29" max="29" width="12.85546875" style="13" customWidth="1"/>
    <col min="30" max="30" width="14" style="13" customWidth="1"/>
    <col min="31" max="16384" width="7.85546875" style="13"/>
  </cols>
  <sheetData>
    <row r="1" spans="1:55" x14ac:dyDescent="0.2">
      <c r="A1" s="127"/>
    </row>
    <row r="2" spans="1:55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AS2" s="128" t="s">
        <v>65</v>
      </c>
      <c r="AY2" s="128" t="s">
        <v>85</v>
      </c>
      <c r="AZ2" s="128" t="s">
        <v>86</v>
      </c>
      <c r="BA2" s="128" t="s">
        <v>9</v>
      </c>
      <c r="BB2" s="128" t="s">
        <v>554</v>
      </c>
      <c r="BC2" s="128" t="s">
        <v>88</v>
      </c>
    </row>
    <row r="3" spans="1:55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S3" s="128" t="s">
        <v>39</v>
      </c>
      <c r="AY3" s="128" t="s">
        <v>89</v>
      </c>
      <c r="AZ3" s="128" t="s">
        <v>90</v>
      </c>
      <c r="BA3" s="128" t="s">
        <v>9</v>
      </c>
      <c r="BB3" s="128" t="s">
        <v>555</v>
      </c>
      <c r="BC3" s="128" t="s">
        <v>88</v>
      </c>
    </row>
    <row r="4" spans="1:55" ht="18" x14ac:dyDescent="0.2">
      <c r="B4" s="130"/>
      <c r="D4" s="131" t="s">
        <v>92</v>
      </c>
      <c r="L4" s="130"/>
      <c r="M4" s="128" t="s">
        <v>93</v>
      </c>
      <c r="AS4" s="128" t="s">
        <v>1</v>
      </c>
      <c r="AY4" s="128" t="s">
        <v>90</v>
      </c>
      <c r="AZ4" s="128" t="s">
        <v>94</v>
      </c>
      <c r="BA4" s="128" t="s">
        <v>9</v>
      </c>
      <c r="BB4" s="128" t="s">
        <v>556</v>
      </c>
      <c r="BC4" s="128" t="s">
        <v>88</v>
      </c>
    </row>
    <row r="5" spans="1:55" x14ac:dyDescent="0.2">
      <c r="B5" s="130"/>
      <c r="L5" s="130"/>
    </row>
    <row r="6" spans="1:55" x14ac:dyDescent="0.2">
      <c r="B6" s="130"/>
      <c r="D6" s="128" t="s">
        <v>7</v>
      </c>
      <c r="L6" s="130"/>
    </row>
    <row r="7" spans="1:55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5" s="26" customFormat="1" x14ac:dyDescent="0.25">
      <c r="B8" s="132"/>
      <c r="D8" s="128" t="s">
        <v>96</v>
      </c>
      <c r="L8" s="132"/>
    </row>
    <row r="9" spans="1:55" s="26" customFormat="1" ht="15" customHeight="1" x14ac:dyDescent="0.25">
      <c r="B9" s="132"/>
      <c r="E9" s="276" t="s">
        <v>64</v>
      </c>
      <c r="F9" s="277"/>
      <c r="G9" s="277"/>
      <c r="H9" s="277"/>
      <c r="L9" s="132"/>
    </row>
    <row r="10" spans="1:55" s="26" customFormat="1" x14ac:dyDescent="0.25">
      <c r="B10" s="132"/>
      <c r="L10" s="132"/>
    </row>
    <row r="11" spans="1:55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5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5" s="26" customFormat="1" x14ac:dyDescent="0.25">
      <c r="B13" s="132"/>
      <c r="L13" s="132"/>
    </row>
    <row r="14" spans="1:55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5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5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ROUND((SUM(BD86:BD142)),  2)</f>
        <v>0</v>
      </c>
      <c r="I33" s="139">
        <v>0.2</v>
      </c>
      <c r="J33" s="138">
        <f>ROUND(((SUM(BD86:BD142))*I33),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ROUND((SUM(BE86:BE142)),  2)</f>
        <v>0</v>
      </c>
      <c r="I34" s="139">
        <v>0.2</v>
      </c>
      <c r="J34" s="138">
        <f>ROUND(((SUM(BE86:BE142))*I34),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ROUND((SUM(BF86:BF142)),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ROUND((SUM(BG86:BG142)),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ROUND((SUM(BH86:BH142)),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6" s="26" customFormat="1" x14ac:dyDescent="0.25">
      <c r="B49" s="132"/>
      <c r="C49" s="128" t="s">
        <v>96</v>
      </c>
      <c r="L49" s="132"/>
    </row>
    <row r="50" spans="2:46" s="26" customFormat="1" ht="15" customHeight="1" x14ac:dyDescent="0.25">
      <c r="B50" s="132"/>
      <c r="E50" s="276" t="str">
        <f>E9</f>
        <v>G- demontáž</v>
      </c>
      <c r="F50" s="277"/>
      <c r="G50" s="277"/>
      <c r="H50" s="277"/>
      <c r="L50" s="132"/>
    </row>
    <row r="51" spans="2:46" s="26" customFormat="1" x14ac:dyDescent="0.25">
      <c r="B51" s="132"/>
      <c r="L51" s="132"/>
    </row>
    <row r="52" spans="2:46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6" s="26" customFormat="1" x14ac:dyDescent="0.25">
      <c r="B53" s="132"/>
      <c r="L53" s="132"/>
    </row>
    <row r="54" spans="2:46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6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6" s="26" customFormat="1" x14ac:dyDescent="0.25">
      <c r="B56" s="132"/>
      <c r="L56" s="132"/>
    </row>
    <row r="57" spans="2:46" s="26" customFormat="1" ht="12" x14ac:dyDescent="0.25">
      <c r="B57" s="132"/>
      <c r="C57" s="144" t="s">
        <v>98</v>
      </c>
      <c r="J57" s="145" t="s">
        <v>99</v>
      </c>
      <c r="L57" s="132"/>
    </row>
    <row r="58" spans="2:46" s="26" customFormat="1" x14ac:dyDescent="0.25">
      <c r="B58" s="132"/>
      <c r="L58" s="132"/>
    </row>
    <row r="59" spans="2:46" s="26" customFormat="1" ht="15.75" x14ac:dyDescent="0.25">
      <c r="B59" s="132"/>
      <c r="C59" s="146" t="s">
        <v>100</v>
      </c>
      <c r="J59" s="136">
        <f>J86</f>
        <v>0</v>
      </c>
      <c r="L59" s="132"/>
      <c r="AT59" s="128" t="s">
        <v>101</v>
      </c>
    </row>
    <row r="60" spans="2:46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6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6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6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J127</f>
        <v>0</v>
      </c>
      <c r="L63" s="78"/>
    </row>
    <row r="64" spans="2:46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J128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J138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J142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557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4" s="26" customFormat="1" ht="6.95" customHeight="1" x14ac:dyDescent="0.25">
      <c r="B81" s="132"/>
      <c r="L81" s="132"/>
    </row>
    <row r="82" spans="2:64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4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4" s="26" customFormat="1" ht="10.35" customHeight="1" x14ac:dyDescent="0.25">
      <c r="B84" s="132"/>
      <c r="L84" s="132"/>
    </row>
    <row r="85" spans="2:64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4" s="26" customFormat="1" ht="22.9" customHeight="1" x14ac:dyDescent="0.25">
      <c r="B86" s="132"/>
      <c r="C86" s="146" t="s">
        <v>100</v>
      </c>
      <c r="J86" s="152">
        <f>J87+J127</f>
        <v>0</v>
      </c>
      <c r="L86" s="132"/>
      <c r="M86" s="153"/>
      <c r="N86" s="134"/>
      <c r="O86" s="134"/>
      <c r="P86" s="154">
        <f>P87+P127</f>
        <v>1386.9819212169</v>
      </c>
      <c r="Q86" s="134"/>
      <c r="R86" s="154">
        <f>R87+R127</f>
        <v>19.408670591700002</v>
      </c>
      <c r="S86" s="134"/>
      <c r="T86" s="155">
        <f>T87+T127</f>
        <v>38.086800000000004</v>
      </c>
      <c r="AS86" s="128" t="s">
        <v>123</v>
      </c>
      <c r="AT86" s="128" t="s">
        <v>101</v>
      </c>
      <c r="BJ86" s="156">
        <f>BJ87+BJ127</f>
        <v>0</v>
      </c>
    </row>
    <row r="87" spans="2:64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>
        <f>P88+P91</f>
        <v>777.81344121690006</v>
      </c>
      <c r="R87" s="163">
        <f>R88+R91</f>
        <v>18.495260591700003</v>
      </c>
      <c r="T87" s="164">
        <f>T88+T91</f>
        <v>0</v>
      </c>
      <c r="AQ87" s="159" t="s">
        <v>42</v>
      </c>
      <c r="AS87" s="165" t="s">
        <v>123</v>
      </c>
      <c r="AT87" s="165" t="s">
        <v>39</v>
      </c>
      <c r="AX87" s="159" t="s">
        <v>126</v>
      </c>
      <c r="BJ87" s="166">
        <f>BJ88+BJ91</f>
        <v>0</v>
      </c>
    </row>
    <row r="88" spans="2:64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>
        <f>SUM(P89:P90)</f>
        <v>384.24664816889998</v>
      </c>
      <c r="R88" s="163">
        <f>SUM(R89:R90)</f>
        <v>18.495260591700003</v>
      </c>
      <c r="T88" s="164">
        <f>SUM(T89:T90)</f>
        <v>0</v>
      </c>
      <c r="AQ88" s="159" t="s">
        <v>42</v>
      </c>
      <c r="AS88" s="165" t="s">
        <v>123</v>
      </c>
      <c r="AT88" s="165" t="s">
        <v>42</v>
      </c>
      <c r="AX88" s="159" t="s">
        <v>126</v>
      </c>
      <c r="BJ88" s="166">
        <f>SUM(BJ89:BJ90)</f>
        <v>0</v>
      </c>
    </row>
    <row r="89" spans="2:64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286.33*1.1*0.1*1.15</f>
        <v>36.220745000000001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15.5466681689</v>
      </c>
      <c r="Q89" s="177">
        <v>2.0660000000000001E-2</v>
      </c>
      <c r="R89" s="177">
        <f>Q89*H89</f>
        <v>0.74832059170000009</v>
      </c>
      <c r="S89" s="177">
        <v>0</v>
      </c>
      <c r="T89" s="178">
        <f>S89*H89</f>
        <v>0</v>
      </c>
      <c r="AQ89" s="128" t="s">
        <v>132</v>
      </c>
      <c r="AS89" s="128" t="s">
        <v>129</v>
      </c>
      <c r="AT89" s="128" t="s">
        <v>88</v>
      </c>
      <c r="AX89" s="128" t="s">
        <v>126</v>
      </c>
      <c r="BD89" s="138">
        <f>IF(N89="základná",J89,0)</f>
        <v>0</v>
      </c>
      <c r="BE89" s="138">
        <f>IF(N89="znížená",J89,0)</f>
        <v>0</v>
      </c>
      <c r="BF89" s="138">
        <f>IF(N89="zákl. prenesená",J89,0)</f>
        <v>0</v>
      </c>
      <c r="BG89" s="138">
        <f>IF(N89="zníž. prenesená",J89,0)</f>
        <v>0</v>
      </c>
      <c r="BH89" s="138">
        <f>IF(N89="nulová",J89,0)</f>
        <v>0</v>
      </c>
      <c r="BI89" s="128" t="s">
        <v>88</v>
      </c>
      <c r="BJ89" s="166">
        <f>ROUND(I89*H89,3)</f>
        <v>0</v>
      </c>
      <c r="BK89" s="128" t="s">
        <v>132</v>
      </c>
      <c r="BL89" s="128" t="s">
        <v>133</v>
      </c>
    </row>
    <row r="90" spans="2:64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859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368.69997999999998</v>
      </c>
      <c r="Q90" s="177">
        <v>2.0660000000000001E-2</v>
      </c>
      <c r="R90" s="177">
        <f>Q90*H90</f>
        <v>17.746940000000002</v>
      </c>
      <c r="S90" s="177">
        <v>0</v>
      </c>
      <c r="T90" s="178">
        <f>S90*H90</f>
        <v>0</v>
      </c>
      <c r="AQ90" s="128" t="s">
        <v>132</v>
      </c>
      <c r="AS90" s="128" t="s">
        <v>129</v>
      </c>
      <c r="AT90" s="128" t="s">
        <v>88</v>
      </c>
      <c r="AX90" s="128" t="s">
        <v>126</v>
      </c>
      <c r="BD90" s="138">
        <f>IF(N90="základná",J90,0)</f>
        <v>0</v>
      </c>
      <c r="BE90" s="138">
        <f>IF(N90="znížená",J90,0)</f>
        <v>0</v>
      </c>
      <c r="BF90" s="138">
        <f>IF(N90="zákl. prenesená",J90,0)</f>
        <v>0</v>
      </c>
      <c r="BG90" s="138">
        <f>IF(N90="zníž. prenesená",J90,0)</f>
        <v>0</v>
      </c>
      <c r="BH90" s="138">
        <f>IF(N90="nulová",J90,0)</f>
        <v>0</v>
      </c>
      <c r="BI90" s="128" t="s">
        <v>88</v>
      </c>
      <c r="BJ90" s="166">
        <f>ROUND(I90*H90,3)</f>
        <v>0</v>
      </c>
      <c r="BK90" s="128" t="s">
        <v>132</v>
      </c>
      <c r="BL90" s="128" t="s">
        <v>137</v>
      </c>
    </row>
    <row r="91" spans="2:64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SUM(J92:J125)</f>
        <v>0</v>
      </c>
      <c r="L91" s="157"/>
      <c r="M91" s="162"/>
      <c r="P91" s="163">
        <f>SUM(P103:P126)</f>
        <v>393.56679304800008</v>
      </c>
      <c r="R91" s="163">
        <f>SUM(R103:R126)</f>
        <v>0</v>
      </c>
      <c r="T91" s="164">
        <f>SUM(T103:T126)</f>
        <v>0</v>
      </c>
      <c r="AQ91" s="159" t="s">
        <v>42</v>
      </c>
      <c r="AS91" s="165" t="s">
        <v>123</v>
      </c>
      <c r="AT91" s="165" t="s">
        <v>42</v>
      </c>
      <c r="AX91" s="159" t="s">
        <v>126</v>
      </c>
      <c r="BJ91" s="166">
        <f>SUM(BJ103:BJ126)</f>
        <v>0</v>
      </c>
    </row>
    <row r="92" spans="2:64" s="26" customFormat="1" ht="16.5" customHeight="1" x14ac:dyDescent="0.25">
      <c r="B92" s="169"/>
      <c r="C92" s="170">
        <v>3</v>
      </c>
      <c r="D92" s="170"/>
      <c r="E92" s="171">
        <v>113107141</v>
      </c>
      <c r="F92" s="172" t="s">
        <v>558</v>
      </c>
      <c r="G92" s="173" t="s">
        <v>136</v>
      </c>
      <c r="H92" s="174">
        <v>859</v>
      </c>
      <c r="I92" s="174"/>
      <c r="J92" s="174">
        <f>I92*H92</f>
        <v>0</v>
      </c>
      <c r="K92" s="172"/>
      <c r="L92" s="283"/>
      <c r="M92" s="175"/>
      <c r="N92" s="176"/>
      <c r="O92" s="177"/>
      <c r="P92" s="177"/>
      <c r="Q92" s="177"/>
      <c r="R92" s="177"/>
      <c r="S92" s="177"/>
      <c r="T92" s="178"/>
      <c r="AQ92" s="128"/>
      <c r="AS92" s="128"/>
      <c r="AT92" s="128"/>
      <c r="AX92" s="128"/>
      <c r="BD92" s="138"/>
      <c r="BE92" s="138"/>
      <c r="BF92" s="138"/>
      <c r="BG92" s="138"/>
      <c r="BH92" s="138"/>
      <c r="BI92" s="128"/>
      <c r="BJ92" s="166"/>
      <c r="BK92" s="128"/>
      <c r="BL92" s="128"/>
    </row>
    <row r="93" spans="2:64" s="26" customFormat="1" ht="16.5" customHeight="1" x14ac:dyDescent="0.25">
      <c r="B93" s="169"/>
      <c r="C93" s="170">
        <v>4</v>
      </c>
      <c r="D93" s="170" t="s">
        <v>129</v>
      </c>
      <c r="E93" s="171" t="s">
        <v>144</v>
      </c>
      <c r="F93" s="172" t="s">
        <v>145</v>
      </c>
      <c r="G93" s="173" t="s">
        <v>146</v>
      </c>
      <c r="H93" s="174">
        <f>H97+H103+H112+H119</f>
        <v>198.85763900000001</v>
      </c>
      <c r="I93" s="174"/>
      <c r="J93" s="174">
        <f>ROUND(I93*H93,3)</f>
        <v>0</v>
      </c>
      <c r="K93" s="172" t="s">
        <v>9</v>
      </c>
      <c r="L93" s="283"/>
      <c r="M93" s="175" t="s">
        <v>9</v>
      </c>
      <c r="N93" s="176" t="s">
        <v>27</v>
      </c>
      <c r="O93" s="177">
        <v>0.89</v>
      </c>
      <c r="P93" s="177">
        <f>O93*H93</f>
        <v>176.98329871000001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Q93" s="128" t="s">
        <v>132</v>
      </c>
      <c r="AS93" s="128" t="s">
        <v>129</v>
      </c>
      <c r="AT93" s="128" t="s">
        <v>88</v>
      </c>
      <c r="AX93" s="128" t="s">
        <v>126</v>
      </c>
      <c r="BD93" s="138">
        <f>IF(N93="základná",J93,0)</f>
        <v>0</v>
      </c>
      <c r="BE93" s="138">
        <f>IF(N93="znížená",J93,0)</f>
        <v>0</v>
      </c>
      <c r="BF93" s="138">
        <f>IF(N93="zákl. prenesená",J93,0)</f>
        <v>0</v>
      </c>
      <c r="BG93" s="138">
        <f>IF(N93="zníž. prenesená",J93,0)</f>
        <v>0</v>
      </c>
      <c r="BH93" s="138">
        <f>IF(N93="nulová",J93,0)</f>
        <v>0</v>
      </c>
      <c r="BI93" s="128" t="s">
        <v>88</v>
      </c>
      <c r="BJ93" s="166">
        <f>ROUND(I93*H93,3)</f>
        <v>0</v>
      </c>
      <c r="BK93" s="128" t="s">
        <v>132</v>
      </c>
      <c r="BL93" s="128" t="s">
        <v>147</v>
      </c>
    </row>
    <row r="94" spans="2:64" s="26" customFormat="1" ht="16.5" customHeight="1" x14ac:dyDescent="0.25">
      <c r="B94" s="169"/>
      <c r="C94" s="194">
        <v>5</v>
      </c>
      <c r="D94" s="194"/>
      <c r="E94" s="171" t="s">
        <v>148</v>
      </c>
      <c r="F94" s="172" t="s">
        <v>149</v>
      </c>
      <c r="G94" s="173" t="s">
        <v>146</v>
      </c>
      <c r="H94" s="198">
        <f>H93*10</f>
        <v>1988.5763900000002</v>
      </c>
      <c r="I94" s="174"/>
      <c r="J94" s="174">
        <f t="shared" ref="J94:J103" si="0">ROUND(I94*H94,3)</f>
        <v>0</v>
      </c>
      <c r="K94" s="196"/>
      <c r="L94" s="283"/>
      <c r="M94" s="175"/>
      <c r="N94" s="176"/>
      <c r="O94" s="177"/>
      <c r="P94" s="177"/>
      <c r="Q94" s="177"/>
      <c r="R94" s="177"/>
      <c r="S94" s="177"/>
      <c r="T94" s="178"/>
      <c r="AQ94" s="128"/>
      <c r="AS94" s="128"/>
      <c r="AT94" s="128"/>
      <c r="AX94" s="128"/>
      <c r="BD94" s="138"/>
      <c r="BE94" s="138"/>
      <c r="BF94" s="138"/>
      <c r="BG94" s="138"/>
      <c r="BH94" s="138"/>
      <c r="BI94" s="128"/>
      <c r="BJ94" s="166"/>
      <c r="BK94" s="128"/>
      <c r="BL94" s="128"/>
    </row>
    <row r="95" spans="2:64" s="26" customFormat="1" ht="16.5" customHeight="1" x14ac:dyDescent="0.25">
      <c r="B95" s="169"/>
      <c r="C95" s="194"/>
      <c r="D95" s="194"/>
      <c r="E95" s="171"/>
      <c r="F95" s="172" t="s">
        <v>150</v>
      </c>
      <c r="G95" s="197"/>
      <c r="H95" s="198"/>
      <c r="I95" s="198"/>
      <c r="J95" s="174">
        <f t="shared" si="0"/>
        <v>0</v>
      </c>
      <c r="K95" s="196"/>
      <c r="L95" s="283"/>
      <c r="M95" s="175"/>
      <c r="N95" s="176"/>
      <c r="O95" s="177"/>
      <c r="P95" s="177"/>
      <c r="Q95" s="177"/>
      <c r="R95" s="177"/>
      <c r="S95" s="177"/>
      <c r="T95" s="178"/>
      <c r="AQ95" s="128"/>
      <c r="AS95" s="128"/>
      <c r="AT95" s="128"/>
      <c r="AX95" s="128"/>
      <c r="BD95" s="138"/>
      <c r="BE95" s="138"/>
      <c r="BF95" s="138"/>
      <c r="BG95" s="138"/>
      <c r="BH95" s="138"/>
      <c r="BI95" s="128"/>
      <c r="BJ95" s="166"/>
      <c r="BK95" s="128"/>
      <c r="BL95" s="128"/>
    </row>
    <row r="96" spans="2:64" s="26" customFormat="1" ht="16.5" customHeight="1" x14ac:dyDescent="0.25">
      <c r="B96" s="169"/>
      <c r="C96" s="194">
        <v>6</v>
      </c>
      <c r="D96" s="194"/>
      <c r="E96" s="171" t="s">
        <v>151</v>
      </c>
      <c r="F96" s="172" t="s">
        <v>152</v>
      </c>
      <c r="G96" s="197" t="s">
        <v>153</v>
      </c>
      <c r="H96" s="198">
        <v>1</v>
      </c>
      <c r="I96" s="198"/>
      <c r="J96" s="174">
        <f t="shared" si="0"/>
        <v>0</v>
      </c>
      <c r="K96" s="196"/>
      <c r="L96" s="283"/>
      <c r="M96" s="175"/>
      <c r="N96" s="176"/>
      <c r="O96" s="177"/>
      <c r="P96" s="177"/>
      <c r="Q96" s="177"/>
      <c r="R96" s="177"/>
      <c r="S96" s="177"/>
      <c r="T96" s="178"/>
      <c r="AQ96" s="128"/>
      <c r="AS96" s="128"/>
      <c r="AT96" s="128"/>
      <c r="AX96" s="128"/>
      <c r="BD96" s="138"/>
      <c r="BE96" s="138"/>
      <c r="BF96" s="138"/>
      <c r="BG96" s="138"/>
      <c r="BH96" s="138"/>
      <c r="BI96" s="128"/>
      <c r="BJ96" s="166"/>
      <c r="BK96" s="128"/>
      <c r="BL96" s="128"/>
    </row>
    <row r="97" spans="2:64" s="26" customFormat="1" ht="22.15" customHeight="1" x14ac:dyDescent="0.25">
      <c r="B97" s="169"/>
      <c r="C97" s="170">
        <v>7</v>
      </c>
      <c r="D97" s="170" t="s">
        <v>129</v>
      </c>
      <c r="E97" s="171" t="s">
        <v>154</v>
      </c>
      <c r="F97" s="172" t="s">
        <v>559</v>
      </c>
      <c r="G97" s="173" t="s">
        <v>146</v>
      </c>
      <c r="H97" s="174">
        <f>H92*0.098</f>
        <v>84.182000000000002</v>
      </c>
      <c r="I97" s="174"/>
      <c r="J97" s="174">
        <f t="shared" si="0"/>
        <v>0</v>
      </c>
      <c r="K97" s="172" t="s">
        <v>156</v>
      </c>
      <c r="L97" s="283"/>
      <c r="M97" s="175" t="s">
        <v>9</v>
      </c>
      <c r="N97" s="176" t="s">
        <v>27</v>
      </c>
      <c r="O97" s="177">
        <v>0</v>
      </c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Q97" s="128" t="s">
        <v>132</v>
      </c>
      <c r="AS97" s="128" t="s">
        <v>129</v>
      </c>
      <c r="AT97" s="128" t="s">
        <v>88</v>
      </c>
      <c r="AX97" s="128" t="s">
        <v>126</v>
      </c>
      <c r="BD97" s="138">
        <f>IF(N97="základná",J97,0)</f>
        <v>0</v>
      </c>
      <c r="BE97" s="138">
        <f>IF(N97="znížená",J97,0)</f>
        <v>0</v>
      </c>
      <c r="BF97" s="138">
        <f>IF(N97="zákl. prenesená",J97,0)</f>
        <v>0</v>
      </c>
      <c r="BG97" s="138">
        <f>IF(N97="zníž. prenesená",J97,0)</f>
        <v>0</v>
      </c>
      <c r="BH97" s="138">
        <f>IF(N97="nulová",J97,0)</f>
        <v>0</v>
      </c>
      <c r="BI97" s="128" t="s">
        <v>88</v>
      </c>
      <c r="BJ97" s="166">
        <f>ROUND(I97*H97,3)</f>
        <v>0</v>
      </c>
      <c r="BK97" s="128" t="s">
        <v>132</v>
      </c>
      <c r="BL97" s="128" t="s">
        <v>157</v>
      </c>
    </row>
    <row r="98" spans="2:64" s="26" customFormat="1" ht="16.5" customHeight="1" x14ac:dyDescent="0.25">
      <c r="B98" s="169"/>
      <c r="C98" s="170">
        <v>8</v>
      </c>
      <c r="D98" s="170" t="s">
        <v>129</v>
      </c>
      <c r="E98" s="171" t="s">
        <v>158</v>
      </c>
      <c r="F98" s="172" t="s">
        <v>159</v>
      </c>
      <c r="G98" s="173" t="s">
        <v>146</v>
      </c>
      <c r="H98" s="174">
        <f>H97</f>
        <v>84.182000000000002</v>
      </c>
      <c r="I98" s="174"/>
      <c r="J98" s="174">
        <f t="shared" si="0"/>
        <v>0</v>
      </c>
      <c r="K98" s="172" t="s">
        <v>9</v>
      </c>
      <c r="L98" s="283"/>
      <c r="M98" s="175" t="s">
        <v>9</v>
      </c>
      <c r="N98" s="176" t="s">
        <v>27</v>
      </c>
      <c r="O98" s="177">
        <v>0.88200000000000001</v>
      </c>
      <c r="P98" s="177">
        <f>O98*H98</f>
        <v>74.248524000000003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Q98" s="128" t="s">
        <v>132</v>
      </c>
      <c r="AS98" s="128" t="s">
        <v>129</v>
      </c>
      <c r="AT98" s="128" t="s">
        <v>88</v>
      </c>
      <c r="AX98" s="128" t="s">
        <v>126</v>
      </c>
      <c r="BD98" s="138">
        <f>IF(N98="základná",J98,0)</f>
        <v>0</v>
      </c>
      <c r="BE98" s="138">
        <f>IF(N98="znížená",J98,0)</f>
        <v>0</v>
      </c>
      <c r="BF98" s="138">
        <f>IF(N98="zákl. prenesená",J98,0)</f>
        <v>0</v>
      </c>
      <c r="BG98" s="138">
        <f>IF(N98="zníž. prenesená",J98,0)</f>
        <v>0</v>
      </c>
      <c r="BH98" s="138">
        <f>IF(N98="nulová",J98,0)</f>
        <v>0</v>
      </c>
      <c r="BI98" s="128" t="s">
        <v>88</v>
      </c>
      <c r="BJ98" s="166">
        <f>ROUND(I98*H98,3)</f>
        <v>0</v>
      </c>
      <c r="BK98" s="128" t="s">
        <v>132</v>
      </c>
      <c r="BL98" s="128" t="s">
        <v>160</v>
      </c>
    </row>
    <row r="99" spans="2:64" s="26" customFormat="1" ht="16.5" customHeight="1" x14ac:dyDescent="0.25">
      <c r="B99" s="169"/>
      <c r="C99" s="170">
        <v>9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H98*3</f>
        <v>252.54599999999999</v>
      </c>
      <c r="I99" s="174"/>
      <c r="J99" s="174">
        <f t="shared" si="0"/>
        <v>0</v>
      </c>
      <c r="K99" s="172" t="s">
        <v>156</v>
      </c>
      <c r="L99" s="283"/>
      <c r="M99" s="175" t="s">
        <v>9</v>
      </c>
      <c r="N99" s="176" t="s">
        <v>27</v>
      </c>
      <c r="O99" s="177">
        <v>0.61799999999999999</v>
      </c>
      <c r="P99" s="177">
        <f>O99*H99</f>
        <v>156.07342800000001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Q99" s="128" t="s">
        <v>132</v>
      </c>
      <c r="AS99" s="128" t="s">
        <v>129</v>
      </c>
      <c r="AT99" s="128" t="s">
        <v>88</v>
      </c>
      <c r="AX99" s="128" t="s">
        <v>126</v>
      </c>
      <c r="BD99" s="138">
        <f>IF(N99="základná",J99,0)</f>
        <v>0</v>
      </c>
      <c r="BE99" s="138">
        <f>IF(N99="znížená",J99,0)</f>
        <v>0</v>
      </c>
      <c r="BF99" s="138">
        <f>IF(N99="zákl. prenesená",J99,0)</f>
        <v>0</v>
      </c>
      <c r="BG99" s="138">
        <f>IF(N99="zníž. prenesená",J99,0)</f>
        <v>0</v>
      </c>
      <c r="BH99" s="138">
        <f>IF(N99="nulová",J99,0)</f>
        <v>0</v>
      </c>
      <c r="BI99" s="128" t="s">
        <v>88</v>
      </c>
      <c r="BJ99" s="166">
        <f>ROUND(I99*H99,3)</f>
        <v>0</v>
      </c>
      <c r="BK99" s="128" t="s">
        <v>132</v>
      </c>
      <c r="BL99" s="128" t="s">
        <v>166</v>
      </c>
    </row>
    <row r="100" spans="2:64" s="26" customFormat="1" ht="16.5" customHeight="1" x14ac:dyDescent="0.25">
      <c r="B100" s="169"/>
      <c r="C100" s="170">
        <v>10</v>
      </c>
      <c r="D100" s="170" t="s">
        <v>129</v>
      </c>
      <c r="E100" s="171" t="s">
        <v>167</v>
      </c>
      <c r="F100" s="172" t="s">
        <v>168</v>
      </c>
      <c r="G100" s="173" t="s">
        <v>146</v>
      </c>
      <c r="H100" s="174">
        <f>H98</f>
        <v>84.182000000000002</v>
      </c>
      <c r="I100" s="174"/>
      <c r="J100" s="174">
        <f t="shared" si="0"/>
        <v>0</v>
      </c>
      <c r="K100" s="172" t="s">
        <v>156</v>
      </c>
      <c r="L100" s="283"/>
      <c r="M100" s="175" t="s">
        <v>9</v>
      </c>
      <c r="N100" s="176" t="s">
        <v>27</v>
      </c>
      <c r="O100" s="177">
        <v>0.59799999999999998</v>
      </c>
      <c r="P100" s="177">
        <f>O100*H100</f>
        <v>50.340835999999996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Q100" s="128" t="s">
        <v>132</v>
      </c>
      <c r="AS100" s="128" t="s">
        <v>129</v>
      </c>
      <c r="AT100" s="128" t="s">
        <v>88</v>
      </c>
      <c r="AX100" s="128" t="s">
        <v>126</v>
      </c>
      <c r="BD100" s="138">
        <f>IF(N100="základná",J100,0)</f>
        <v>0</v>
      </c>
      <c r="BE100" s="138">
        <f>IF(N100="znížená",J100,0)</f>
        <v>0</v>
      </c>
      <c r="BF100" s="138">
        <f>IF(N100="zákl. prenesená",J100,0)</f>
        <v>0</v>
      </c>
      <c r="BG100" s="138">
        <f>IF(N100="zníž. prenesená",J100,0)</f>
        <v>0</v>
      </c>
      <c r="BH100" s="138">
        <f>IF(N100="nulová",J100,0)</f>
        <v>0</v>
      </c>
      <c r="BI100" s="128" t="s">
        <v>88</v>
      </c>
      <c r="BJ100" s="166">
        <f>ROUND(I100*H100,3)</f>
        <v>0</v>
      </c>
      <c r="BK100" s="128" t="s">
        <v>132</v>
      </c>
      <c r="BL100" s="128" t="s">
        <v>169</v>
      </c>
    </row>
    <row r="101" spans="2:64" s="26" customFormat="1" ht="16.5" customHeight="1" x14ac:dyDescent="0.25">
      <c r="B101" s="169"/>
      <c r="C101" s="170">
        <v>11</v>
      </c>
      <c r="D101" s="170" t="s">
        <v>129</v>
      </c>
      <c r="E101" s="171" t="s">
        <v>170</v>
      </c>
      <c r="F101" s="172" t="s">
        <v>171</v>
      </c>
      <c r="G101" s="173" t="s">
        <v>146</v>
      </c>
      <c r="H101" s="174">
        <f>H98</f>
        <v>84.182000000000002</v>
      </c>
      <c r="I101" s="174"/>
      <c r="J101" s="174">
        <f t="shared" si="0"/>
        <v>0</v>
      </c>
      <c r="K101" s="172" t="s">
        <v>156</v>
      </c>
      <c r="L101" s="283"/>
      <c r="M101" s="175" t="s">
        <v>9</v>
      </c>
      <c r="N101" s="176" t="s">
        <v>27</v>
      </c>
      <c r="O101" s="177">
        <v>7.0000000000000001E-3</v>
      </c>
      <c r="P101" s="177">
        <f>O101*H101</f>
        <v>0.58927400000000008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Q101" s="128" t="s">
        <v>132</v>
      </c>
      <c r="AS101" s="128" t="s">
        <v>129</v>
      </c>
      <c r="AT101" s="128" t="s">
        <v>88</v>
      </c>
      <c r="AX101" s="128" t="s">
        <v>126</v>
      </c>
      <c r="BD101" s="138">
        <f>IF(N101="základná",J101,0)</f>
        <v>0</v>
      </c>
      <c r="BE101" s="138">
        <f>IF(N101="znížená",J101,0)</f>
        <v>0</v>
      </c>
      <c r="BF101" s="138">
        <f>IF(N101="zákl. prenesená",J101,0)</f>
        <v>0</v>
      </c>
      <c r="BG101" s="138">
        <f>IF(N101="zníž. prenesená",J101,0)</f>
        <v>0</v>
      </c>
      <c r="BH101" s="138">
        <f>IF(N101="nulová",J101,0)</f>
        <v>0</v>
      </c>
      <c r="BI101" s="128" t="s">
        <v>88</v>
      </c>
      <c r="BJ101" s="166">
        <f>ROUND(I101*H101,3)</f>
        <v>0</v>
      </c>
      <c r="BK101" s="128" t="s">
        <v>132</v>
      </c>
      <c r="BL101" s="128" t="s">
        <v>172</v>
      </c>
    </row>
    <row r="102" spans="2:64" s="26" customFormat="1" ht="16.5" customHeight="1" x14ac:dyDescent="0.25">
      <c r="B102" s="169"/>
      <c r="C102" s="170">
        <v>12</v>
      </c>
      <c r="D102" s="170"/>
      <c r="E102" s="171" t="s">
        <v>525</v>
      </c>
      <c r="F102" s="172" t="s">
        <v>526</v>
      </c>
      <c r="G102" s="173" t="s">
        <v>146</v>
      </c>
      <c r="H102" s="174">
        <f>H101*14</f>
        <v>1178.548</v>
      </c>
      <c r="I102" s="174"/>
      <c r="J102" s="174">
        <f t="shared" si="0"/>
        <v>0</v>
      </c>
      <c r="K102" s="172"/>
      <c r="L102" s="132"/>
      <c r="M102" s="175"/>
      <c r="N102" s="176"/>
      <c r="O102" s="177"/>
      <c r="P102" s="177"/>
      <c r="Q102" s="177"/>
      <c r="R102" s="177"/>
      <c r="S102" s="177"/>
      <c r="T102" s="178"/>
      <c r="AQ102" s="128"/>
      <c r="AS102" s="128"/>
      <c r="AT102" s="128"/>
      <c r="AX102" s="128"/>
      <c r="BD102" s="138"/>
      <c r="BE102" s="138"/>
      <c r="BF102" s="138"/>
      <c r="BG102" s="138"/>
      <c r="BH102" s="138"/>
      <c r="BI102" s="128"/>
      <c r="BJ102" s="166"/>
      <c r="BK102" s="128"/>
      <c r="BL102" s="128"/>
    </row>
    <row r="103" spans="2:64" s="26" customFormat="1" ht="16.5" customHeight="1" x14ac:dyDescent="0.25">
      <c r="B103" s="169"/>
      <c r="C103" s="170">
        <v>13</v>
      </c>
      <c r="D103" s="170" t="s">
        <v>129</v>
      </c>
      <c r="E103" s="171" t="s">
        <v>154</v>
      </c>
      <c r="F103" s="172" t="s">
        <v>155</v>
      </c>
      <c r="G103" s="173" t="s">
        <v>146</v>
      </c>
      <c r="H103" s="174">
        <v>33.462000000000003</v>
      </c>
      <c r="I103" s="174"/>
      <c r="J103" s="174">
        <f t="shared" si="0"/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0</v>
      </c>
      <c r="P103" s="177">
        <f>O103*H103</f>
        <v>0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Q103" s="128" t="s">
        <v>132</v>
      </c>
      <c r="AS103" s="128" t="s">
        <v>129</v>
      </c>
      <c r="AT103" s="128" t="s">
        <v>88</v>
      </c>
      <c r="AX103" s="128" t="s">
        <v>126</v>
      </c>
      <c r="BD103" s="138">
        <f>IF(N103="základná",J103,0)</f>
        <v>0</v>
      </c>
      <c r="BE103" s="138">
        <f>IF(N103="znížená",J103,0)</f>
        <v>0</v>
      </c>
      <c r="BF103" s="138">
        <f>IF(N103="zákl. prenesená",J103,0)</f>
        <v>0</v>
      </c>
      <c r="BG103" s="138">
        <f>IF(N103="zníž. prenesená",J103,0)</f>
        <v>0</v>
      </c>
      <c r="BH103" s="138">
        <f>IF(N103="nulová",J103,0)</f>
        <v>0</v>
      </c>
      <c r="BI103" s="128" t="s">
        <v>88</v>
      </c>
      <c r="BJ103" s="166">
        <f>ROUND(I103*H103,3)</f>
        <v>0</v>
      </c>
      <c r="BK103" s="128" t="s">
        <v>132</v>
      </c>
      <c r="BL103" s="128" t="s">
        <v>157</v>
      </c>
    </row>
    <row r="104" spans="2:64" s="26" customFormat="1" ht="16.5" customHeight="1" x14ac:dyDescent="0.25">
      <c r="B104" s="169"/>
      <c r="C104" s="170">
        <v>14</v>
      </c>
      <c r="D104" s="170" t="s">
        <v>129</v>
      </c>
      <c r="E104" s="171" t="s">
        <v>158</v>
      </c>
      <c r="F104" s="172" t="s">
        <v>159</v>
      </c>
      <c r="G104" s="173" t="s">
        <v>146</v>
      </c>
      <c r="H104" s="174">
        <v>33.462000000000003</v>
      </c>
      <c r="I104" s="174"/>
      <c r="J104" s="174">
        <f>ROUND(I104*H104,3)</f>
        <v>0</v>
      </c>
      <c r="K104" s="172" t="s">
        <v>9</v>
      </c>
      <c r="L104" s="132"/>
      <c r="M104" s="175" t="s">
        <v>9</v>
      </c>
      <c r="N104" s="176" t="s">
        <v>27</v>
      </c>
      <c r="O104" s="177">
        <v>0.88200000000000001</v>
      </c>
      <c r="P104" s="177">
        <f>O104*H104</f>
        <v>29.513484000000002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Q104" s="128" t="s">
        <v>132</v>
      </c>
      <c r="AS104" s="128" t="s">
        <v>129</v>
      </c>
      <c r="AT104" s="128" t="s">
        <v>88</v>
      </c>
      <c r="AX104" s="128" t="s">
        <v>126</v>
      </c>
      <c r="BD104" s="138">
        <f>IF(N104="základná",J104,0)</f>
        <v>0</v>
      </c>
      <c r="BE104" s="138">
        <f>IF(N104="znížená",J104,0)</f>
        <v>0</v>
      </c>
      <c r="BF104" s="138">
        <f>IF(N104="zákl. prenesená",J104,0)</f>
        <v>0</v>
      </c>
      <c r="BG104" s="138">
        <f>IF(N104="zníž. prenesená",J104,0)</f>
        <v>0</v>
      </c>
      <c r="BH104" s="138">
        <f>IF(N104="nulová",J104,0)</f>
        <v>0</v>
      </c>
      <c r="BI104" s="128" t="s">
        <v>88</v>
      </c>
      <c r="BJ104" s="166">
        <f>ROUND(I104*H104,3)</f>
        <v>0</v>
      </c>
      <c r="BK104" s="128" t="s">
        <v>132</v>
      </c>
      <c r="BL104" s="128" t="s">
        <v>160</v>
      </c>
    </row>
    <row r="105" spans="2:64" s="26" customFormat="1" x14ac:dyDescent="0.25">
      <c r="B105" s="132"/>
      <c r="D105" s="179" t="s">
        <v>161</v>
      </c>
      <c r="E105" s="128" t="s">
        <v>9</v>
      </c>
      <c r="F105" s="143" t="s">
        <v>162</v>
      </c>
      <c r="H105" s="166">
        <v>33.462000000000003</v>
      </c>
      <c r="L105" s="132"/>
      <c r="M105" s="180"/>
      <c r="T105" s="181"/>
      <c r="AS105" s="128" t="s">
        <v>161</v>
      </c>
      <c r="AT105" s="128" t="s">
        <v>88</v>
      </c>
      <c r="AU105" s="26" t="s">
        <v>88</v>
      </c>
      <c r="AV105" s="26" t="s">
        <v>163</v>
      </c>
      <c r="AW105" s="26" t="s">
        <v>42</v>
      </c>
      <c r="AX105" s="128" t="s">
        <v>126</v>
      </c>
    </row>
    <row r="106" spans="2:64" s="26" customFormat="1" ht="16.5" customHeight="1" x14ac:dyDescent="0.25">
      <c r="B106" s="169"/>
      <c r="C106" s="170">
        <v>15</v>
      </c>
      <c r="D106" s="170" t="s">
        <v>129</v>
      </c>
      <c r="E106" s="171" t="s">
        <v>164</v>
      </c>
      <c r="F106" s="172" t="s">
        <v>165</v>
      </c>
      <c r="G106" s="173" t="s">
        <v>146</v>
      </c>
      <c r="H106" s="174">
        <f>H104*3</f>
        <v>100.38600000000001</v>
      </c>
      <c r="I106" s="174"/>
      <c r="J106" s="174">
        <f>ROUND(I106*H106,3)</f>
        <v>0</v>
      </c>
      <c r="K106" s="172" t="s">
        <v>156</v>
      </c>
      <c r="L106" s="132"/>
      <c r="M106" s="175" t="s">
        <v>9</v>
      </c>
      <c r="N106" s="176" t="s">
        <v>27</v>
      </c>
      <c r="O106" s="177">
        <v>0.61799999999999999</v>
      </c>
      <c r="P106" s="177">
        <f>O106*H106</f>
        <v>62.038548000000006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Q106" s="128" t="s">
        <v>132</v>
      </c>
      <c r="AS106" s="128" t="s">
        <v>129</v>
      </c>
      <c r="AT106" s="128" t="s">
        <v>88</v>
      </c>
      <c r="AX106" s="128" t="s">
        <v>126</v>
      </c>
      <c r="BD106" s="138">
        <f>IF(N106="základná",J106,0)</f>
        <v>0</v>
      </c>
      <c r="BE106" s="138">
        <f>IF(N106="znížená",J106,0)</f>
        <v>0</v>
      </c>
      <c r="BF106" s="138">
        <f>IF(N106="zákl. prenesená",J106,0)</f>
        <v>0</v>
      </c>
      <c r="BG106" s="138">
        <f>IF(N106="zníž. prenesená",J106,0)</f>
        <v>0</v>
      </c>
      <c r="BH106" s="138">
        <f>IF(N106="nulová",J106,0)</f>
        <v>0</v>
      </c>
      <c r="BI106" s="128" t="s">
        <v>88</v>
      </c>
      <c r="BJ106" s="166">
        <f>ROUND(I106*H106,3)</f>
        <v>0</v>
      </c>
      <c r="BK106" s="128" t="s">
        <v>132</v>
      </c>
      <c r="BL106" s="128" t="s">
        <v>166</v>
      </c>
    </row>
    <row r="107" spans="2:64" s="26" customFormat="1" x14ac:dyDescent="0.25">
      <c r="B107" s="132"/>
      <c r="D107" s="179" t="s">
        <v>161</v>
      </c>
      <c r="E107" s="128" t="s">
        <v>9</v>
      </c>
      <c r="F107" s="143" t="s">
        <v>560</v>
      </c>
      <c r="H107" s="166"/>
      <c r="L107" s="132"/>
      <c r="M107" s="180"/>
      <c r="T107" s="181"/>
      <c r="AS107" s="128" t="s">
        <v>161</v>
      </c>
      <c r="AT107" s="128" t="s">
        <v>88</v>
      </c>
      <c r="AU107" s="26" t="s">
        <v>88</v>
      </c>
      <c r="AV107" s="26" t="s">
        <v>163</v>
      </c>
      <c r="AW107" s="26" t="s">
        <v>42</v>
      </c>
      <c r="AX107" s="128" t="s">
        <v>126</v>
      </c>
    </row>
    <row r="108" spans="2:64" s="26" customFormat="1" ht="16.5" customHeight="1" x14ac:dyDescent="0.25">
      <c r="B108" s="169"/>
      <c r="C108" s="170">
        <v>16</v>
      </c>
      <c r="D108" s="170" t="s">
        <v>129</v>
      </c>
      <c r="E108" s="171" t="s">
        <v>167</v>
      </c>
      <c r="F108" s="172" t="s">
        <v>168</v>
      </c>
      <c r="G108" s="173" t="s">
        <v>146</v>
      </c>
      <c r="H108" s="174">
        <v>33.462000000000003</v>
      </c>
      <c r="I108" s="174"/>
      <c r="J108" s="174">
        <f>ROUND(I108*H108,3)</f>
        <v>0</v>
      </c>
      <c r="K108" s="172" t="s">
        <v>156</v>
      </c>
      <c r="L108" s="132"/>
      <c r="M108" s="175" t="s">
        <v>9</v>
      </c>
      <c r="N108" s="176" t="s">
        <v>27</v>
      </c>
      <c r="O108" s="177">
        <v>0.59799999999999998</v>
      </c>
      <c r="P108" s="177">
        <f>O108*H108</f>
        <v>20.010276000000001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Q108" s="128" t="s">
        <v>132</v>
      </c>
      <c r="AS108" s="128" t="s">
        <v>129</v>
      </c>
      <c r="AT108" s="128" t="s">
        <v>88</v>
      </c>
      <c r="AX108" s="128" t="s">
        <v>126</v>
      </c>
      <c r="BD108" s="138">
        <f>IF(N108="základná",J108,0)</f>
        <v>0</v>
      </c>
      <c r="BE108" s="138">
        <f>IF(N108="znížená",J108,0)</f>
        <v>0</v>
      </c>
      <c r="BF108" s="138">
        <f>IF(N108="zákl. prenesená",J108,0)</f>
        <v>0</v>
      </c>
      <c r="BG108" s="138">
        <f>IF(N108="zníž. prenesená",J108,0)</f>
        <v>0</v>
      </c>
      <c r="BH108" s="138">
        <f>IF(N108="nulová",J108,0)</f>
        <v>0</v>
      </c>
      <c r="BI108" s="128" t="s">
        <v>88</v>
      </c>
      <c r="BJ108" s="166">
        <f>ROUND(I108*H108,3)</f>
        <v>0</v>
      </c>
      <c r="BK108" s="128" t="s">
        <v>132</v>
      </c>
      <c r="BL108" s="128" t="s">
        <v>169</v>
      </c>
    </row>
    <row r="109" spans="2:64" s="26" customFormat="1" x14ac:dyDescent="0.25">
      <c r="B109" s="132"/>
      <c r="D109" s="179" t="s">
        <v>161</v>
      </c>
      <c r="E109" s="128" t="s">
        <v>9</v>
      </c>
      <c r="F109" s="143" t="s">
        <v>162</v>
      </c>
      <c r="H109" s="166">
        <v>33.462000000000003</v>
      </c>
      <c r="L109" s="132"/>
      <c r="M109" s="180"/>
      <c r="T109" s="181"/>
      <c r="AS109" s="128" t="s">
        <v>161</v>
      </c>
      <c r="AT109" s="128" t="s">
        <v>88</v>
      </c>
      <c r="AU109" s="26" t="s">
        <v>88</v>
      </c>
      <c r="AV109" s="26" t="s">
        <v>163</v>
      </c>
      <c r="AW109" s="26" t="s">
        <v>42</v>
      </c>
      <c r="AX109" s="128" t="s">
        <v>126</v>
      </c>
    </row>
    <row r="110" spans="2:64" s="26" customFormat="1" ht="16.5" customHeight="1" x14ac:dyDescent="0.25">
      <c r="B110" s="169"/>
      <c r="C110" s="170">
        <v>17</v>
      </c>
      <c r="D110" s="170" t="s">
        <v>129</v>
      </c>
      <c r="E110" s="171" t="s">
        <v>170</v>
      </c>
      <c r="F110" s="172" t="s">
        <v>171</v>
      </c>
      <c r="G110" s="173" t="s">
        <v>146</v>
      </c>
      <c r="H110" s="174">
        <v>468.46800000000002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7.0000000000000001E-3</v>
      </c>
      <c r="P110" s="177">
        <f>O110*H110</f>
        <v>3.2792760000000003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Q110" s="128" t="s">
        <v>132</v>
      </c>
      <c r="AS110" s="128" t="s">
        <v>129</v>
      </c>
      <c r="AT110" s="128" t="s">
        <v>88</v>
      </c>
      <c r="AX110" s="128" t="s">
        <v>126</v>
      </c>
      <c r="BD110" s="138">
        <f>IF(N110="základná",J110,0)</f>
        <v>0</v>
      </c>
      <c r="BE110" s="138">
        <f>IF(N110="znížená",J110,0)</f>
        <v>0</v>
      </c>
      <c r="BF110" s="138">
        <f>IF(N110="zákl. prenesená",J110,0)</f>
        <v>0</v>
      </c>
      <c r="BG110" s="138">
        <f>IF(N110="zníž. prenesená",J110,0)</f>
        <v>0</v>
      </c>
      <c r="BH110" s="138">
        <f>IF(N110="nulová",J110,0)</f>
        <v>0</v>
      </c>
      <c r="BI110" s="128" t="s">
        <v>88</v>
      </c>
      <c r="BJ110" s="166">
        <f>ROUND(I110*H110,3)</f>
        <v>0</v>
      </c>
      <c r="BK110" s="128" t="s">
        <v>132</v>
      </c>
      <c r="BL110" s="128" t="s">
        <v>172</v>
      </c>
    </row>
    <row r="111" spans="2:64" s="26" customFormat="1" x14ac:dyDescent="0.25">
      <c r="B111" s="132"/>
      <c r="D111" s="179" t="s">
        <v>161</v>
      </c>
      <c r="E111" s="128" t="s">
        <v>9</v>
      </c>
      <c r="F111" s="143" t="s">
        <v>173</v>
      </c>
      <c r="H111" s="166">
        <v>468.46800000000002</v>
      </c>
      <c r="L111" s="132"/>
      <c r="M111" s="180"/>
      <c r="T111" s="181"/>
      <c r="AS111" s="128" t="s">
        <v>161</v>
      </c>
      <c r="AT111" s="128" t="s">
        <v>88</v>
      </c>
      <c r="AU111" s="26" t="s">
        <v>88</v>
      </c>
      <c r="AV111" s="26" t="s">
        <v>163</v>
      </c>
      <c r="AW111" s="26" t="s">
        <v>42</v>
      </c>
      <c r="AX111" s="128" t="s">
        <v>126</v>
      </c>
    </row>
    <row r="112" spans="2:64" s="26" customFormat="1" ht="16.5" customHeight="1" x14ac:dyDescent="0.25">
      <c r="B112" s="169"/>
      <c r="C112" s="170">
        <v>18</v>
      </c>
      <c r="D112" s="170" t="s">
        <v>129</v>
      </c>
      <c r="E112" s="171" t="s">
        <v>174</v>
      </c>
      <c r="F112" s="172" t="s">
        <v>175</v>
      </c>
      <c r="G112" s="173" t="s">
        <v>146</v>
      </c>
      <c r="H112" s="174">
        <f>H89*2.2</f>
        <v>79.685639000000009</v>
      </c>
      <c r="I112" s="174"/>
      <c r="J112" s="174">
        <f>ROUND(I112*H112,3)</f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0</v>
      </c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Q112" s="128" t="s">
        <v>132</v>
      </c>
      <c r="AS112" s="128" t="s">
        <v>129</v>
      </c>
      <c r="AT112" s="128" t="s">
        <v>88</v>
      </c>
      <c r="AX112" s="128" t="s">
        <v>126</v>
      </c>
      <c r="BD112" s="138">
        <f>IF(N112="základná",J112,0)</f>
        <v>0</v>
      </c>
      <c r="BE112" s="138">
        <f>IF(N112="znížená",J112,0)</f>
        <v>0</v>
      </c>
      <c r="BF112" s="138">
        <f>IF(N112="zákl. prenesená",J112,0)</f>
        <v>0</v>
      </c>
      <c r="BG112" s="138">
        <f>IF(N112="zníž. prenesená",J112,0)</f>
        <v>0</v>
      </c>
      <c r="BH112" s="138">
        <f>IF(N112="nulová",J112,0)</f>
        <v>0</v>
      </c>
      <c r="BI112" s="128" t="s">
        <v>88</v>
      </c>
      <c r="BJ112" s="166">
        <f>ROUND(I112*H112,3)</f>
        <v>0</v>
      </c>
      <c r="BK112" s="128" t="s">
        <v>132</v>
      </c>
      <c r="BL112" s="128" t="s">
        <v>176</v>
      </c>
    </row>
    <row r="113" spans="2:64" s="26" customFormat="1" ht="16.5" customHeight="1" x14ac:dyDescent="0.25">
      <c r="B113" s="169"/>
      <c r="C113" s="170">
        <v>19</v>
      </c>
      <c r="D113" s="170" t="s">
        <v>129</v>
      </c>
      <c r="E113" s="171" t="s">
        <v>158</v>
      </c>
      <c r="F113" s="172" t="s">
        <v>159</v>
      </c>
      <c r="G113" s="173" t="s">
        <v>146</v>
      </c>
      <c r="H113" s="174">
        <f>H112</f>
        <v>79.685639000000009</v>
      </c>
      <c r="I113" s="174"/>
      <c r="J113" s="174">
        <f>ROUND(I113*H113,3)</f>
        <v>0</v>
      </c>
      <c r="K113" s="172" t="s">
        <v>9</v>
      </c>
      <c r="L113" s="132"/>
      <c r="M113" s="175" t="s">
        <v>9</v>
      </c>
      <c r="N113" s="176" t="s">
        <v>27</v>
      </c>
      <c r="O113" s="177">
        <v>0.88200000000000001</v>
      </c>
      <c r="P113" s="177">
        <f>O113*H113</f>
        <v>70.282733598000007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Q113" s="128" t="s">
        <v>132</v>
      </c>
      <c r="AS113" s="128" t="s">
        <v>129</v>
      </c>
      <c r="AT113" s="128" t="s">
        <v>88</v>
      </c>
      <c r="AX113" s="128" t="s">
        <v>126</v>
      </c>
      <c r="BD113" s="138">
        <f>IF(N113="základná",J113,0)</f>
        <v>0</v>
      </c>
      <c r="BE113" s="138">
        <f>IF(N113="znížená",J113,0)</f>
        <v>0</v>
      </c>
      <c r="BF113" s="138">
        <f>IF(N113="zákl. prenesená",J113,0)</f>
        <v>0</v>
      </c>
      <c r="BG113" s="138">
        <f>IF(N113="zníž. prenesená",J113,0)</f>
        <v>0</v>
      </c>
      <c r="BH113" s="138">
        <f>IF(N113="nulová",J113,0)</f>
        <v>0</v>
      </c>
      <c r="BI113" s="128" t="s">
        <v>88</v>
      </c>
      <c r="BJ113" s="166">
        <f>ROUND(I113*H113,3)</f>
        <v>0</v>
      </c>
      <c r="BK113" s="128" t="s">
        <v>132</v>
      </c>
      <c r="BL113" s="128" t="s">
        <v>177</v>
      </c>
    </row>
    <row r="114" spans="2:64" s="26" customFormat="1" ht="16.5" customHeight="1" x14ac:dyDescent="0.25">
      <c r="B114" s="169"/>
      <c r="C114" s="170">
        <v>20</v>
      </c>
      <c r="D114" s="170" t="s">
        <v>129</v>
      </c>
      <c r="E114" s="171" t="s">
        <v>164</v>
      </c>
      <c r="F114" s="172" t="s">
        <v>165</v>
      </c>
      <c r="G114" s="173" t="s">
        <v>146</v>
      </c>
      <c r="H114" s="174">
        <f>H112*3</f>
        <v>239.05691700000003</v>
      </c>
      <c r="I114" s="174"/>
      <c r="J114" s="174">
        <f>ROUND(I114*H114,3)</f>
        <v>0</v>
      </c>
      <c r="K114" s="172" t="s">
        <v>156</v>
      </c>
      <c r="L114" s="132"/>
      <c r="M114" s="175" t="s">
        <v>9</v>
      </c>
      <c r="N114" s="176" t="s">
        <v>27</v>
      </c>
      <c r="O114" s="177">
        <v>0.61799999999999999</v>
      </c>
      <c r="P114" s="177">
        <f>O114*H114</f>
        <v>147.73717470600002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Q114" s="128" t="s">
        <v>132</v>
      </c>
      <c r="AS114" s="128" t="s">
        <v>129</v>
      </c>
      <c r="AT114" s="128" t="s">
        <v>88</v>
      </c>
      <c r="AX114" s="128" t="s">
        <v>126</v>
      </c>
      <c r="BD114" s="138">
        <f>IF(N114="základná",J114,0)</f>
        <v>0</v>
      </c>
      <c r="BE114" s="138">
        <f>IF(N114="znížená",J114,0)</f>
        <v>0</v>
      </c>
      <c r="BF114" s="138">
        <f>IF(N114="zákl. prenesená",J114,0)</f>
        <v>0</v>
      </c>
      <c r="BG114" s="138">
        <f>IF(N114="zníž. prenesená",J114,0)</f>
        <v>0</v>
      </c>
      <c r="BH114" s="138">
        <f>IF(N114="nulová",J114,0)</f>
        <v>0</v>
      </c>
      <c r="BI114" s="128" t="s">
        <v>88</v>
      </c>
      <c r="BJ114" s="166">
        <f>ROUND(I114*H114,3)</f>
        <v>0</v>
      </c>
      <c r="BK114" s="128" t="s">
        <v>132</v>
      </c>
      <c r="BL114" s="128" t="s">
        <v>178</v>
      </c>
    </row>
    <row r="115" spans="2:64" s="26" customFormat="1" x14ac:dyDescent="0.25">
      <c r="B115" s="132"/>
      <c r="D115" s="179" t="s">
        <v>161</v>
      </c>
      <c r="E115" s="128" t="s">
        <v>9</v>
      </c>
      <c r="F115" s="143" t="s">
        <v>561</v>
      </c>
      <c r="H115" s="166"/>
      <c r="L115" s="132"/>
      <c r="M115" s="180"/>
      <c r="T115" s="181"/>
      <c r="AS115" s="128" t="s">
        <v>161</v>
      </c>
      <c r="AT115" s="128" t="s">
        <v>88</v>
      </c>
      <c r="AU115" s="26" t="s">
        <v>88</v>
      </c>
      <c r="AV115" s="26" t="s">
        <v>163</v>
      </c>
      <c r="AW115" s="26" t="s">
        <v>42</v>
      </c>
      <c r="AX115" s="128" t="s">
        <v>126</v>
      </c>
    </row>
    <row r="116" spans="2:64" s="26" customFormat="1" ht="16.5" customHeight="1" x14ac:dyDescent="0.25">
      <c r="B116" s="169"/>
      <c r="C116" s="170">
        <v>21</v>
      </c>
      <c r="D116" s="170" t="s">
        <v>129</v>
      </c>
      <c r="E116" s="171" t="s">
        <v>167</v>
      </c>
      <c r="F116" s="172" t="s">
        <v>168</v>
      </c>
      <c r="G116" s="173" t="s">
        <v>146</v>
      </c>
      <c r="H116" s="174">
        <f>H112</f>
        <v>79.685639000000009</v>
      </c>
      <c r="I116" s="174"/>
      <c r="J116" s="174">
        <f>ROUND(I116*H116,3)</f>
        <v>0</v>
      </c>
      <c r="K116" s="172" t="s">
        <v>156</v>
      </c>
      <c r="L116" s="132"/>
      <c r="M116" s="175" t="s">
        <v>9</v>
      </c>
      <c r="N116" s="176" t="s">
        <v>27</v>
      </c>
      <c r="O116" s="177">
        <v>0.59799999999999998</v>
      </c>
      <c r="P116" s="177">
        <f>O116*H116</f>
        <v>47.652012122000002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Q116" s="128" t="s">
        <v>132</v>
      </c>
      <c r="AS116" s="128" t="s">
        <v>129</v>
      </c>
      <c r="AT116" s="128" t="s">
        <v>88</v>
      </c>
      <c r="AX116" s="128" t="s">
        <v>126</v>
      </c>
      <c r="BD116" s="138">
        <f>IF(N116="základná",J116,0)</f>
        <v>0</v>
      </c>
      <c r="BE116" s="138">
        <f>IF(N116="znížená",J116,0)</f>
        <v>0</v>
      </c>
      <c r="BF116" s="138">
        <f>IF(N116="zákl. prenesená",J116,0)</f>
        <v>0</v>
      </c>
      <c r="BG116" s="138">
        <f>IF(N116="zníž. prenesená",J116,0)</f>
        <v>0</v>
      </c>
      <c r="BH116" s="138">
        <f>IF(N116="nulová",J116,0)</f>
        <v>0</v>
      </c>
      <c r="BI116" s="128" t="s">
        <v>88</v>
      </c>
      <c r="BJ116" s="166">
        <f>ROUND(I116*H116,3)</f>
        <v>0</v>
      </c>
      <c r="BK116" s="128" t="s">
        <v>132</v>
      </c>
      <c r="BL116" s="128" t="s">
        <v>179</v>
      </c>
    </row>
    <row r="117" spans="2:64" s="26" customFormat="1" ht="16.5" customHeight="1" x14ac:dyDescent="0.25">
      <c r="B117" s="169"/>
      <c r="C117" s="170">
        <v>22</v>
      </c>
      <c r="D117" s="170" t="s">
        <v>129</v>
      </c>
      <c r="E117" s="171" t="s">
        <v>170</v>
      </c>
      <c r="F117" s="172" t="s">
        <v>171</v>
      </c>
      <c r="G117" s="173" t="s">
        <v>146</v>
      </c>
      <c r="H117" s="174">
        <f>H112*14</f>
        <v>1115.5989460000001</v>
      </c>
      <c r="I117" s="174"/>
      <c r="J117" s="174">
        <f>ROUND(I117*H117,3)</f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7.0000000000000001E-3</v>
      </c>
      <c r="P117" s="177">
        <f>O117*H117</f>
        <v>7.8091926220000003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Q117" s="128" t="s">
        <v>132</v>
      </c>
      <c r="AS117" s="128" t="s">
        <v>129</v>
      </c>
      <c r="AT117" s="128" t="s">
        <v>88</v>
      </c>
      <c r="AX117" s="128" t="s">
        <v>126</v>
      </c>
      <c r="BD117" s="138">
        <f>IF(N117="základná",J117,0)</f>
        <v>0</v>
      </c>
      <c r="BE117" s="138">
        <f>IF(N117="znížená",J117,0)</f>
        <v>0</v>
      </c>
      <c r="BF117" s="138">
        <f>IF(N117="zákl. prenesená",J117,0)</f>
        <v>0</v>
      </c>
      <c r="BG117" s="138">
        <f>IF(N117="zníž. prenesená",J117,0)</f>
        <v>0</v>
      </c>
      <c r="BH117" s="138">
        <f>IF(N117="nulová",J117,0)</f>
        <v>0</v>
      </c>
      <c r="BI117" s="128" t="s">
        <v>88</v>
      </c>
      <c r="BJ117" s="166">
        <f>ROUND(I117*H117,3)</f>
        <v>0</v>
      </c>
      <c r="BK117" s="128" t="s">
        <v>132</v>
      </c>
      <c r="BL117" s="128" t="s">
        <v>180</v>
      </c>
    </row>
    <row r="118" spans="2:64" s="26" customFormat="1" x14ac:dyDescent="0.25">
      <c r="B118" s="132"/>
      <c r="D118" s="179" t="s">
        <v>161</v>
      </c>
      <c r="E118" s="128" t="s">
        <v>9</v>
      </c>
      <c r="F118" s="143" t="s">
        <v>562</v>
      </c>
      <c r="H118" s="166"/>
      <c r="L118" s="132"/>
      <c r="M118" s="180"/>
      <c r="T118" s="181"/>
      <c r="AS118" s="128" t="s">
        <v>161</v>
      </c>
      <c r="AT118" s="128" t="s">
        <v>88</v>
      </c>
      <c r="AU118" s="26" t="s">
        <v>88</v>
      </c>
      <c r="AV118" s="26" t="s">
        <v>163</v>
      </c>
      <c r="AW118" s="26" t="s">
        <v>42</v>
      </c>
      <c r="AX118" s="128" t="s">
        <v>126</v>
      </c>
    </row>
    <row r="119" spans="2:64" s="26" customFormat="1" ht="16.5" customHeight="1" x14ac:dyDescent="0.25">
      <c r="B119" s="169"/>
      <c r="C119" s="170">
        <v>23</v>
      </c>
      <c r="D119" s="170" t="s">
        <v>129</v>
      </c>
      <c r="E119" s="171" t="s">
        <v>182</v>
      </c>
      <c r="F119" s="172" t="s">
        <v>183</v>
      </c>
      <c r="G119" s="173" t="s">
        <v>146</v>
      </c>
      <c r="H119" s="174">
        <v>1.528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</v>
      </c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Q119" s="128" t="s">
        <v>132</v>
      </c>
      <c r="AS119" s="128" t="s">
        <v>129</v>
      </c>
      <c r="AT119" s="128" t="s">
        <v>88</v>
      </c>
      <c r="AX119" s="128" t="s">
        <v>126</v>
      </c>
      <c r="BD119" s="138">
        <f>IF(N119="základná",J119,0)</f>
        <v>0</v>
      </c>
      <c r="BE119" s="138">
        <f>IF(N119="znížená",J119,0)</f>
        <v>0</v>
      </c>
      <c r="BF119" s="138">
        <f>IF(N119="zákl. prenesená",J119,0)</f>
        <v>0</v>
      </c>
      <c r="BG119" s="138">
        <f>IF(N119="zníž. prenesená",J119,0)</f>
        <v>0</v>
      </c>
      <c r="BH119" s="138">
        <f>IF(N119="nulová",J119,0)</f>
        <v>0</v>
      </c>
      <c r="BI119" s="128" t="s">
        <v>88</v>
      </c>
      <c r="BJ119" s="166">
        <f>ROUND(I119*H119,3)</f>
        <v>0</v>
      </c>
      <c r="BK119" s="128" t="s">
        <v>132</v>
      </c>
      <c r="BL119" s="128" t="s">
        <v>184</v>
      </c>
    </row>
    <row r="120" spans="2:64" s="26" customFormat="1" ht="16.5" customHeight="1" x14ac:dyDescent="0.25">
      <c r="B120" s="169"/>
      <c r="C120" s="170">
        <v>24</v>
      </c>
      <c r="D120" s="170" t="s">
        <v>129</v>
      </c>
      <c r="E120" s="171" t="s">
        <v>158</v>
      </c>
      <c r="F120" s="172" t="s">
        <v>159</v>
      </c>
      <c r="G120" s="173" t="s">
        <v>146</v>
      </c>
      <c r="H120" s="174">
        <v>1.528</v>
      </c>
      <c r="I120" s="174"/>
      <c r="J120" s="174">
        <f>ROUND(I120*H120,3)</f>
        <v>0</v>
      </c>
      <c r="K120" s="172" t="s">
        <v>9</v>
      </c>
      <c r="L120" s="132"/>
      <c r="M120" s="175" t="s">
        <v>9</v>
      </c>
      <c r="N120" s="176" t="s">
        <v>27</v>
      </c>
      <c r="O120" s="177">
        <v>0.88200000000000001</v>
      </c>
      <c r="P120" s="177">
        <f>O120*H120</f>
        <v>1.347696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Q120" s="128" t="s">
        <v>132</v>
      </c>
      <c r="AS120" s="128" t="s">
        <v>129</v>
      </c>
      <c r="AT120" s="128" t="s">
        <v>88</v>
      </c>
      <c r="AX120" s="128" t="s">
        <v>126</v>
      </c>
      <c r="BD120" s="138">
        <f>IF(N120="základná",J120,0)</f>
        <v>0</v>
      </c>
      <c r="BE120" s="138">
        <f>IF(N120="znížená",J120,0)</f>
        <v>0</v>
      </c>
      <c r="BF120" s="138">
        <f>IF(N120="zákl. prenesená",J120,0)</f>
        <v>0</v>
      </c>
      <c r="BG120" s="138">
        <f>IF(N120="zníž. prenesená",J120,0)</f>
        <v>0</v>
      </c>
      <c r="BH120" s="138">
        <f>IF(N120="nulová",J120,0)</f>
        <v>0</v>
      </c>
      <c r="BI120" s="128" t="s">
        <v>88</v>
      </c>
      <c r="BJ120" s="166">
        <f>ROUND(I120*H120,3)</f>
        <v>0</v>
      </c>
      <c r="BK120" s="128" t="s">
        <v>132</v>
      </c>
      <c r="BL120" s="128" t="s">
        <v>185</v>
      </c>
    </row>
    <row r="121" spans="2:64" s="26" customFormat="1" ht="16.5" customHeight="1" x14ac:dyDescent="0.25">
      <c r="B121" s="169"/>
      <c r="C121" s="170">
        <v>25</v>
      </c>
      <c r="D121" s="170" t="s">
        <v>129</v>
      </c>
      <c r="E121" s="171" t="s">
        <v>164</v>
      </c>
      <c r="F121" s="172" t="s">
        <v>165</v>
      </c>
      <c r="G121" s="173" t="s">
        <v>146</v>
      </c>
      <c r="H121" s="174">
        <f>H120*3</f>
        <v>4.5839999999999996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0.61799999999999999</v>
      </c>
      <c r="P121" s="177">
        <f>O121*H121</f>
        <v>2.8329119999999999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Q121" s="128" t="s">
        <v>132</v>
      </c>
      <c r="AS121" s="128" t="s">
        <v>129</v>
      </c>
      <c r="AT121" s="128" t="s">
        <v>88</v>
      </c>
      <c r="AX121" s="128" t="s">
        <v>126</v>
      </c>
      <c r="BD121" s="138">
        <f>IF(N121="základná",J121,0)</f>
        <v>0</v>
      </c>
      <c r="BE121" s="138">
        <f>IF(N121="znížená",J121,0)</f>
        <v>0</v>
      </c>
      <c r="BF121" s="138">
        <f>IF(N121="zákl. prenesená",J121,0)</f>
        <v>0</v>
      </c>
      <c r="BG121" s="138">
        <f>IF(N121="zníž. prenesená",J121,0)</f>
        <v>0</v>
      </c>
      <c r="BH121" s="138">
        <f>IF(N121="nulová",J121,0)</f>
        <v>0</v>
      </c>
      <c r="BI121" s="128" t="s">
        <v>88</v>
      </c>
      <c r="BJ121" s="166">
        <f>ROUND(I121*H121,3)</f>
        <v>0</v>
      </c>
      <c r="BK121" s="128" t="s">
        <v>132</v>
      </c>
      <c r="BL121" s="128" t="s">
        <v>186</v>
      </c>
    </row>
    <row r="122" spans="2:64" s="26" customFormat="1" x14ac:dyDescent="0.25">
      <c r="B122" s="132"/>
      <c r="D122" s="179" t="s">
        <v>161</v>
      </c>
      <c r="E122" s="128" t="s">
        <v>9</v>
      </c>
      <c r="F122" s="143" t="s">
        <v>563</v>
      </c>
      <c r="H122" s="166"/>
      <c r="L122" s="132"/>
      <c r="M122" s="180"/>
      <c r="T122" s="181"/>
      <c r="AS122" s="128" t="s">
        <v>161</v>
      </c>
      <c r="AT122" s="128" t="s">
        <v>88</v>
      </c>
      <c r="AU122" s="26" t="s">
        <v>88</v>
      </c>
      <c r="AV122" s="26" t="s">
        <v>163</v>
      </c>
      <c r="AW122" s="26" t="s">
        <v>42</v>
      </c>
      <c r="AX122" s="128" t="s">
        <v>126</v>
      </c>
    </row>
    <row r="123" spans="2:64" s="26" customFormat="1" ht="16.5" customHeight="1" x14ac:dyDescent="0.25">
      <c r="B123" s="169"/>
      <c r="C123" s="170">
        <v>26</v>
      </c>
      <c r="D123" s="170" t="s">
        <v>129</v>
      </c>
      <c r="E123" s="171" t="s">
        <v>167</v>
      </c>
      <c r="F123" s="172" t="s">
        <v>168</v>
      </c>
      <c r="G123" s="173" t="s">
        <v>146</v>
      </c>
      <c r="H123" s="174">
        <v>1.528</v>
      </c>
      <c r="I123" s="174"/>
      <c r="J123" s="174">
        <f>ROUND(I123*H123,3)</f>
        <v>0</v>
      </c>
      <c r="K123" s="172" t="s">
        <v>156</v>
      </c>
      <c r="L123" s="132"/>
      <c r="M123" s="175" t="s">
        <v>9</v>
      </c>
      <c r="N123" s="176" t="s">
        <v>27</v>
      </c>
      <c r="O123" s="177">
        <v>0.59799999999999998</v>
      </c>
      <c r="P123" s="177">
        <f>O123*H123</f>
        <v>0.913744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Q123" s="128" t="s">
        <v>132</v>
      </c>
      <c r="AS123" s="128" t="s">
        <v>129</v>
      </c>
      <c r="AT123" s="128" t="s">
        <v>88</v>
      </c>
      <c r="AX123" s="128" t="s">
        <v>126</v>
      </c>
      <c r="BD123" s="138">
        <f>IF(N123="základná",J123,0)</f>
        <v>0</v>
      </c>
      <c r="BE123" s="138">
        <f>IF(N123="znížená",J123,0)</f>
        <v>0</v>
      </c>
      <c r="BF123" s="138">
        <f>IF(N123="zákl. prenesená",J123,0)</f>
        <v>0</v>
      </c>
      <c r="BG123" s="138">
        <f>IF(N123="zníž. prenesená",J123,0)</f>
        <v>0</v>
      </c>
      <c r="BH123" s="138">
        <f>IF(N123="nulová",J123,0)</f>
        <v>0</v>
      </c>
      <c r="BI123" s="128" t="s">
        <v>88</v>
      </c>
      <c r="BJ123" s="166">
        <f>ROUND(I123*H123,3)</f>
        <v>0</v>
      </c>
      <c r="BK123" s="128" t="s">
        <v>132</v>
      </c>
      <c r="BL123" s="128" t="s">
        <v>188</v>
      </c>
    </row>
    <row r="124" spans="2:64" s="26" customFormat="1" x14ac:dyDescent="0.25">
      <c r="B124" s="132"/>
      <c r="D124" s="179" t="s">
        <v>161</v>
      </c>
      <c r="E124" s="128" t="s">
        <v>9</v>
      </c>
      <c r="F124" s="143" t="s">
        <v>90</v>
      </c>
      <c r="H124" s="166">
        <v>1.528</v>
      </c>
      <c r="L124" s="132"/>
      <c r="M124" s="180"/>
      <c r="T124" s="181"/>
      <c r="AS124" s="128" t="s">
        <v>161</v>
      </c>
      <c r="AT124" s="128" t="s">
        <v>88</v>
      </c>
      <c r="AU124" s="26" t="s">
        <v>88</v>
      </c>
      <c r="AV124" s="26" t="s">
        <v>163</v>
      </c>
      <c r="AW124" s="26" t="s">
        <v>42</v>
      </c>
      <c r="AX124" s="128" t="s">
        <v>126</v>
      </c>
    </row>
    <row r="125" spans="2:64" s="26" customFormat="1" ht="16.5" customHeight="1" x14ac:dyDescent="0.25">
      <c r="B125" s="169"/>
      <c r="C125" s="170">
        <v>27</v>
      </c>
      <c r="D125" s="170" t="s">
        <v>129</v>
      </c>
      <c r="E125" s="171" t="s">
        <v>170</v>
      </c>
      <c r="F125" s="172" t="s">
        <v>171</v>
      </c>
      <c r="G125" s="173" t="s">
        <v>146</v>
      </c>
      <c r="H125" s="174">
        <f>H120*14</f>
        <v>21.391999999999999</v>
      </c>
      <c r="I125" s="174"/>
      <c r="J125" s="174">
        <f>ROUND(I125*H125,3)</f>
        <v>0</v>
      </c>
      <c r="K125" s="172" t="s">
        <v>156</v>
      </c>
      <c r="L125" s="132"/>
      <c r="M125" s="175" t="s">
        <v>9</v>
      </c>
      <c r="N125" s="176" t="s">
        <v>27</v>
      </c>
      <c r="O125" s="177">
        <v>7.0000000000000001E-3</v>
      </c>
      <c r="P125" s="177">
        <f>O125*H125</f>
        <v>0.14974399999999999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Q125" s="128" t="s">
        <v>132</v>
      </c>
      <c r="AS125" s="128" t="s">
        <v>129</v>
      </c>
      <c r="AT125" s="128" t="s">
        <v>88</v>
      </c>
      <c r="AX125" s="128" t="s">
        <v>126</v>
      </c>
      <c r="BD125" s="138">
        <f>IF(N125="základná",J125,0)</f>
        <v>0</v>
      </c>
      <c r="BE125" s="138">
        <f>IF(N125="znížená",J125,0)</f>
        <v>0</v>
      </c>
      <c r="BF125" s="138">
        <f>IF(N125="zákl. prenesená",J125,0)</f>
        <v>0</v>
      </c>
      <c r="BG125" s="138">
        <f>IF(N125="zníž. prenesená",J125,0)</f>
        <v>0</v>
      </c>
      <c r="BH125" s="138">
        <f>IF(N125="nulová",J125,0)</f>
        <v>0</v>
      </c>
      <c r="BI125" s="128" t="s">
        <v>88</v>
      </c>
      <c r="BJ125" s="166">
        <f>ROUND(I125*H125,3)</f>
        <v>0</v>
      </c>
      <c r="BK125" s="128" t="s">
        <v>132</v>
      </c>
      <c r="BL125" s="128" t="s">
        <v>189</v>
      </c>
    </row>
    <row r="126" spans="2:64" s="26" customFormat="1" x14ac:dyDescent="0.25">
      <c r="B126" s="132"/>
      <c r="D126" s="179" t="s">
        <v>161</v>
      </c>
      <c r="E126" s="128" t="s">
        <v>9</v>
      </c>
      <c r="F126" s="143" t="s">
        <v>190</v>
      </c>
      <c r="H126" s="166">
        <v>21.391999999999999</v>
      </c>
      <c r="L126" s="132"/>
      <c r="M126" s="180"/>
      <c r="T126" s="181"/>
      <c r="AS126" s="128" t="s">
        <v>161</v>
      </c>
      <c r="AT126" s="128" t="s">
        <v>88</v>
      </c>
      <c r="AU126" s="26" t="s">
        <v>88</v>
      </c>
      <c r="AV126" s="26" t="s">
        <v>163</v>
      </c>
      <c r="AW126" s="26" t="s">
        <v>42</v>
      </c>
      <c r="AX126" s="128" t="s">
        <v>126</v>
      </c>
    </row>
    <row r="127" spans="2:64" s="158" customFormat="1" ht="25.9" customHeight="1" x14ac:dyDescent="0.2">
      <c r="B127" s="157"/>
      <c r="D127" s="159" t="s">
        <v>123</v>
      </c>
      <c r="E127" s="160" t="s">
        <v>191</v>
      </c>
      <c r="F127" s="160" t="s">
        <v>192</v>
      </c>
      <c r="J127" s="161">
        <f>J128+J138</f>
        <v>0</v>
      </c>
      <c r="L127" s="157"/>
      <c r="M127" s="162"/>
      <c r="P127" s="163">
        <f>P128+P138+P142</f>
        <v>609.16848000000005</v>
      </c>
      <c r="R127" s="163">
        <f>R128+R138+R142</f>
        <v>0.91341000000000006</v>
      </c>
      <c r="T127" s="164">
        <f>T128+T138+T142</f>
        <v>38.086800000000004</v>
      </c>
      <c r="AQ127" s="159" t="s">
        <v>88</v>
      </c>
      <c r="AS127" s="165" t="s">
        <v>123</v>
      </c>
      <c r="AT127" s="165" t="s">
        <v>39</v>
      </c>
      <c r="AX127" s="159" t="s">
        <v>126</v>
      </c>
      <c r="BJ127" s="166">
        <f>BJ128+BJ138+BJ142</f>
        <v>0</v>
      </c>
    </row>
    <row r="128" spans="2:64" s="158" customFormat="1" ht="22.9" customHeight="1" x14ac:dyDescent="0.2">
      <c r="B128" s="157"/>
      <c r="D128" s="159" t="s">
        <v>123</v>
      </c>
      <c r="E128" s="167" t="s">
        <v>193</v>
      </c>
      <c r="F128" s="167" t="s">
        <v>194</v>
      </c>
      <c r="J128" s="168">
        <f>SUM(J129:J137)</f>
        <v>0</v>
      </c>
      <c r="L128" s="157"/>
      <c r="M128" s="162"/>
      <c r="P128" s="163">
        <f>SUM(P129:P137)</f>
        <v>556.96062000000006</v>
      </c>
      <c r="R128" s="163">
        <f>SUM(R129:R137)</f>
        <v>0.87021000000000004</v>
      </c>
      <c r="T128" s="164">
        <f>SUM(T129:T137)</f>
        <v>35.380800000000001</v>
      </c>
      <c r="AQ128" s="159" t="s">
        <v>88</v>
      </c>
      <c r="AS128" s="165" t="s">
        <v>123</v>
      </c>
      <c r="AT128" s="165" t="s">
        <v>42</v>
      </c>
      <c r="AX128" s="159" t="s">
        <v>126</v>
      </c>
      <c r="BJ128" s="166">
        <f>SUM(BJ129:BJ137)</f>
        <v>0</v>
      </c>
    </row>
    <row r="129" spans="2:64" s="26" customFormat="1" ht="16.5" customHeight="1" x14ac:dyDescent="0.25">
      <c r="B129" s="169"/>
      <c r="C129" s="170">
        <v>28</v>
      </c>
      <c r="D129" s="170" t="s">
        <v>129</v>
      </c>
      <c r="E129" s="171" t="s">
        <v>465</v>
      </c>
      <c r="F129" s="172" t="s">
        <v>466</v>
      </c>
      <c r="G129" s="173" t="s">
        <v>136</v>
      </c>
      <c r="H129" s="174">
        <v>879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0.43458000000000002</v>
      </c>
      <c r="P129" s="177">
        <f>O129*H129</f>
        <v>381.99582000000004</v>
      </c>
      <c r="Q129" s="177">
        <v>9.8999999999999999E-4</v>
      </c>
      <c r="R129" s="177">
        <f>Q129*H129</f>
        <v>0.87021000000000004</v>
      </c>
      <c r="S129" s="177">
        <v>0</v>
      </c>
      <c r="T129" s="178">
        <f>S129*H129</f>
        <v>0</v>
      </c>
      <c r="AQ129" s="128" t="s">
        <v>197</v>
      </c>
      <c r="AS129" s="128" t="s">
        <v>129</v>
      </c>
      <c r="AT129" s="128" t="s">
        <v>88</v>
      </c>
      <c r="AX129" s="128" t="s">
        <v>126</v>
      </c>
      <c r="BD129" s="138">
        <f>IF(N129="základná",J129,0)</f>
        <v>0</v>
      </c>
      <c r="BE129" s="138">
        <f>IF(N129="znížená",J129,0)</f>
        <v>0</v>
      </c>
      <c r="BF129" s="138">
        <f>IF(N129="zákl. prenesená",J129,0)</f>
        <v>0</v>
      </c>
      <c r="BG129" s="138">
        <f>IF(N129="zníž. prenesená",J129,0)</f>
        <v>0</v>
      </c>
      <c r="BH129" s="138">
        <f>IF(N129="nulová",J129,0)</f>
        <v>0</v>
      </c>
      <c r="BI129" s="128" t="s">
        <v>88</v>
      </c>
      <c r="BJ129" s="166">
        <f>ROUND(I129*H129,3)</f>
        <v>0</v>
      </c>
      <c r="BK129" s="128" t="s">
        <v>197</v>
      </c>
      <c r="BL129" s="128" t="s">
        <v>467</v>
      </c>
    </row>
    <row r="130" spans="2:64" s="26" customFormat="1" ht="16.5" customHeight="1" x14ac:dyDescent="0.25">
      <c r="B130" s="169"/>
      <c r="C130" s="170">
        <v>29</v>
      </c>
      <c r="D130" s="170" t="s">
        <v>129</v>
      </c>
      <c r="E130" s="171" t="s">
        <v>210</v>
      </c>
      <c r="F130" s="172" t="s">
        <v>211</v>
      </c>
      <c r="G130" s="173" t="s">
        <v>136</v>
      </c>
      <c r="H130" s="174">
        <f>H131</f>
        <v>1028</v>
      </c>
      <c r="I130" s="174"/>
      <c r="J130" s="174">
        <f>ROUND(I130*H130,3)</f>
        <v>0</v>
      </c>
      <c r="K130" s="172" t="s">
        <v>9</v>
      </c>
      <c r="L130" s="204"/>
      <c r="M130" s="175" t="s">
        <v>9</v>
      </c>
      <c r="N130" s="176" t="s">
        <v>27</v>
      </c>
      <c r="O130" s="177">
        <v>7.0999999999999994E-2</v>
      </c>
      <c r="P130" s="177">
        <f>O130*H130</f>
        <v>72.988</v>
      </c>
      <c r="Q130" s="177">
        <v>0</v>
      </c>
      <c r="R130" s="177">
        <f>Q130*H130</f>
        <v>0</v>
      </c>
      <c r="S130" s="177">
        <v>1.6E-2</v>
      </c>
      <c r="T130" s="178">
        <f>S130*H130</f>
        <v>16.448</v>
      </c>
      <c r="AQ130" s="128" t="s">
        <v>197</v>
      </c>
      <c r="AS130" s="128" t="s">
        <v>129</v>
      </c>
      <c r="AT130" s="128" t="s">
        <v>88</v>
      </c>
      <c r="AX130" s="128" t="s">
        <v>126</v>
      </c>
      <c r="BD130" s="138">
        <f>IF(N130="základná",J130,0)</f>
        <v>0</v>
      </c>
      <c r="BE130" s="138">
        <f>IF(N130="znížená",J130,0)</f>
        <v>0</v>
      </c>
      <c r="BF130" s="138">
        <f>IF(N130="zákl. prenesená",J130,0)</f>
        <v>0</v>
      </c>
      <c r="BG130" s="138">
        <f>IF(N130="zníž. prenesená",J130,0)</f>
        <v>0</v>
      </c>
      <c r="BH130" s="138">
        <f>IF(N130="nulová",J130,0)</f>
        <v>0</v>
      </c>
      <c r="BI130" s="128" t="s">
        <v>88</v>
      </c>
      <c r="BJ130" s="166">
        <f>ROUND(I130*H130,3)</f>
        <v>0</v>
      </c>
      <c r="BK130" s="128" t="s">
        <v>197</v>
      </c>
      <c r="BL130" s="128" t="s">
        <v>212</v>
      </c>
    </row>
    <row r="131" spans="2:64" s="26" customFormat="1" x14ac:dyDescent="0.25">
      <c r="B131" s="132"/>
      <c r="D131" s="179" t="s">
        <v>161</v>
      </c>
      <c r="E131" s="128" t="s">
        <v>9</v>
      </c>
      <c r="F131" s="143" t="s">
        <v>564</v>
      </c>
      <c r="H131" s="166">
        <f>879+149</f>
        <v>1028</v>
      </c>
      <c r="L131" s="132"/>
      <c r="M131" s="180"/>
      <c r="T131" s="181"/>
      <c r="AS131" s="128" t="s">
        <v>161</v>
      </c>
      <c r="AT131" s="128" t="s">
        <v>88</v>
      </c>
      <c r="AU131" s="26" t="s">
        <v>88</v>
      </c>
      <c r="AV131" s="26" t="s">
        <v>163</v>
      </c>
      <c r="AW131" s="26" t="s">
        <v>42</v>
      </c>
      <c r="AX131" s="128" t="s">
        <v>126</v>
      </c>
    </row>
    <row r="132" spans="2:64" s="26" customFormat="1" ht="16.5" customHeight="1" x14ac:dyDescent="0.25">
      <c r="B132" s="169"/>
      <c r="C132" s="170">
        <v>30</v>
      </c>
      <c r="D132" s="170" t="s">
        <v>129</v>
      </c>
      <c r="E132" s="171" t="s">
        <v>214</v>
      </c>
      <c r="F132" s="172" t="s">
        <v>416</v>
      </c>
      <c r="G132" s="173" t="s">
        <v>136</v>
      </c>
      <c r="H132" s="174">
        <f>H135</f>
        <v>2637</v>
      </c>
      <c r="I132" s="174"/>
      <c r="J132" s="174">
        <f>ROUND(I132*H132,3)</f>
        <v>0</v>
      </c>
      <c r="K132" s="172" t="s">
        <v>156</v>
      </c>
      <c r="L132" s="132"/>
      <c r="M132" s="175" t="s">
        <v>9</v>
      </c>
      <c r="N132" s="176" t="s">
        <v>27</v>
      </c>
      <c r="O132" s="177">
        <v>8.0000000000000002E-3</v>
      </c>
      <c r="P132" s="177">
        <f>O132*H132</f>
        <v>21.096</v>
      </c>
      <c r="Q132" s="177">
        <v>0</v>
      </c>
      <c r="R132" s="177">
        <f>Q132*H132</f>
        <v>0</v>
      </c>
      <c r="S132" s="177">
        <v>6.0000000000000001E-3</v>
      </c>
      <c r="T132" s="178">
        <f>S132*H132</f>
        <v>15.822000000000001</v>
      </c>
      <c r="AQ132" s="128" t="s">
        <v>197</v>
      </c>
      <c r="AS132" s="128" t="s">
        <v>129</v>
      </c>
      <c r="AT132" s="128" t="s">
        <v>88</v>
      </c>
      <c r="AX132" s="128" t="s">
        <v>126</v>
      </c>
      <c r="BD132" s="138">
        <f>IF(N132="základná",J132,0)</f>
        <v>0</v>
      </c>
      <c r="BE132" s="138">
        <f>IF(N132="znížená",J132,0)</f>
        <v>0</v>
      </c>
      <c r="BF132" s="138">
        <f>IF(N132="zákl. prenesená",J132,0)</f>
        <v>0</v>
      </c>
      <c r="BG132" s="138">
        <f>IF(N132="zníž. prenesená",J132,0)</f>
        <v>0</v>
      </c>
      <c r="BH132" s="138">
        <f>IF(N132="nulová",J132,0)</f>
        <v>0</v>
      </c>
      <c r="BI132" s="128" t="s">
        <v>88</v>
      </c>
      <c r="BJ132" s="166">
        <f>ROUND(I132*H132,3)</f>
        <v>0</v>
      </c>
      <c r="BK132" s="128" t="s">
        <v>197</v>
      </c>
      <c r="BL132" s="128" t="s">
        <v>216</v>
      </c>
    </row>
    <row r="133" spans="2:64" s="26" customFormat="1" x14ac:dyDescent="0.25">
      <c r="B133" s="132"/>
      <c r="D133" s="179" t="s">
        <v>161</v>
      </c>
      <c r="E133" s="128" t="s">
        <v>9</v>
      </c>
      <c r="F133" s="143" t="s">
        <v>565</v>
      </c>
      <c r="H133" s="166">
        <f>879*3</f>
        <v>2637</v>
      </c>
      <c r="L133" s="132"/>
      <c r="M133" s="180"/>
      <c r="T133" s="181"/>
      <c r="AS133" s="128" t="s">
        <v>161</v>
      </c>
      <c r="AT133" s="128" t="s">
        <v>88</v>
      </c>
      <c r="AU133" s="26" t="s">
        <v>88</v>
      </c>
      <c r="AV133" s="26" t="s">
        <v>163</v>
      </c>
      <c r="AW133" s="26" t="s">
        <v>39</v>
      </c>
      <c r="AX133" s="128" t="s">
        <v>126</v>
      </c>
    </row>
    <row r="134" spans="2:64" s="26" customFormat="1" x14ac:dyDescent="0.25">
      <c r="B134" s="132"/>
      <c r="D134" s="179"/>
      <c r="E134" s="128"/>
      <c r="F134" s="143"/>
      <c r="H134" s="166"/>
      <c r="L134" s="132"/>
      <c r="M134" s="180"/>
      <c r="T134" s="181"/>
      <c r="AS134" s="128"/>
      <c r="AT134" s="128"/>
      <c r="AX134" s="128"/>
    </row>
    <row r="135" spans="2:64" s="26" customFormat="1" x14ac:dyDescent="0.25">
      <c r="B135" s="132"/>
      <c r="D135" s="179" t="s">
        <v>161</v>
      </c>
      <c r="E135" s="128" t="s">
        <v>9</v>
      </c>
      <c r="F135" s="143" t="s">
        <v>218</v>
      </c>
      <c r="H135" s="166">
        <f>SUM(H133:H134)</f>
        <v>2637</v>
      </c>
      <c r="L135" s="132"/>
      <c r="M135" s="180"/>
      <c r="T135" s="181"/>
      <c r="AS135" s="128" t="s">
        <v>161</v>
      </c>
      <c r="AT135" s="128" t="s">
        <v>88</v>
      </c>
      <c r="AU135" s="26" t="s">
        <v>132</v>
      </c>
      <c r="AV135" s="26" t="s">
        <v>163</v>
      </c>
      <c r="AW135" s="26" t="s">
        <v>42</v>
      </c>
      <c r="AX135" s="128" t="s">
        <v>126</v>
      </c>
    </row>
    <row r="136" spans="2:64" s="26" customFormat="1" ht="16.5" customHeight="1" x14ac:dyDescent="0.25">
      <c r="B136" s="169"/>
      <c r="C136" s="170">
        <v>31</v>
      </c>
      <c r="D136" s="170" t="s">
        <v>129</v>
      </c>
      <c r="E136" s="171" t="s">
        <v>219</v>
      </c>
      <c r="F136" s="172" t="s">
        <v>546</v>
      </c>
      <c r="G136" s="173" t="s">
        <v>136</v>
      </c>
      <c r="H136" s="174">
        <f>879*0.6</f>
        <v>527.4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5.1999999999999998E-2</v>
      </c>
      <c r="P136" s="177">
        <f>O136*H136</f>
        <v>27.424799999999998</v>
      </c>
      <c r="Q136" s="177">
        <v>0</v>
      </c>
      <c r="R136" s="177">
        <f>Q136*H136</f>
        <v>0</v>
      </c>
      <c r="S136" s="177">
        <v>2E-3</v>
      </c>
      <c r="T136" s="178">
        <f>S136*H136</f>
        <v>1.0548</v>
      </c>
      <c r="AQ136" s="128" t="s">
        <v>197</v>
      </c>
      <c r="AS136" s="128" t="s">
        <v>129</v>
      </c>
      <c r="AT136" s="128" t="s">
        <v>88</v>
      </c>
      <c r="AX136" s="128" t="s">
        <v>126</v>
      </c>
      <c r="BD136" s="138">
        <f>IF(N136="základná",J136,0)</f>
        <v>0</v>
      </c>
      <c r="BE136" s="138">
        <f>IF(N136="znížená",J136,0)</f>
        <v>0</v>
      </c>
      <c r="BF136" s="138">
        <f>IF(N136="zákl. prenesená",J136,0)</f>
        <v>0</v>
      </c>
      <c r="BG136" s="138">
        <f>IF(N136="zníž. prenesená",J136,0)</f>
        <v>0</v>
      </c>
      <c r="BH136" s="138">
        <f>IF(N136="nulová",J136,0)</f>
        <v>0</v>
      </c>
      <c r="BI136" s="128" t="s">
        <v>88</v>
      </c>
      <c r="BJ136" s="166">
        <f>ROUND(I136*H136,3)</f>
        <v>0</v>
      </c>
      <c r="BK136" s="128" t="s">
        <v>197</v>
      </c>
      <c r="BL136" s="128" t="s">
        <v>221</v>
      </c>
    </row>
    <row r="137" spans="2:64" s="26" customFormat="1" ht="16.5" customHeight="1" x14ac:dyDescent="0.25">
      <c r="B137" s="169"/>
      <c r="C137" s="170">
        <v>32</v>
      </c>
      <c r="D137" s="170" t="s">
        <v>129</v>
      </c>
      <c r="E137" s="171" t="s">
        <v>219</v>
      </c>
      <c r="F137" s="172" t="s">
        <v>222</v>
      </c>
      <c r="G137" s="173" t="s">
        <v>136</v>
      </c>
      <c r="H137" s="174">
        <f>H130</f>
        <v>1028</v>
      </c>
      <c r="I137" s="174"/>
      <c r="J137" s="174">
        <f>ROUND(I137*H137,3)</f>
        <v>0</v>
      </c>
      <c r="K137" s="172" t="s">
        <v>9</v>
      </c>
      <c r="L137" s="132"/>
      <c r="M137" s="175" t="s">
        <v>9</v>
      </c>
      <c r="N137" s="176" t="s">
        <v>27</v>
      </c>
      <c r="O137" s="177">
        <v>5.1999999999999998E-2</v>
      </c>
      <c r="P137" s="177">
        <f>O137*H137</f>
        <v>53.455999999999996</v>
      </c>
      <c r="Q137" s="177">
        <v>0</v>
      </c>
      <c r="R137" s="177">
        <f>Q137*H137</f>
        <v>0</v>
      </c>
      <c r="S137" s="177">
        <v>2E-3</v>
      </c>
      <c r="T137" s="178">
        <f>S137*H137</f>
        <v>2.056</v>
      </c>
      <c r="AQ137" s="128" t="s">
        <v>197</v>
      </c>
      <c r="AS137" s="128" t="s">
        <v>129</v>
      </c>
      <c r="AT137" s="128" t="s">
        <v>88</v>
      </c>
      <c r="AX137" s="128" t="s">
        <v>126</v>
      </c>
      <c r="BD137" s="138">
        <f>IF(N137="základná",J137,0)</f>
        <v>0</v>
      </c>
      <c r="BE137" s="138">
        <f>IF(N137="znížená",J137,0)</f>
        <v>0</v>
      </c>
      <c r="BF137" s="138">
        <f>IF(N137="zákl. prenesená",J137,0)</f>
        <v>0</v>
      </c>
      <c r="BG137" s="138">
        <f>IF(N137="zníž. prenesená",J137,0)</f>
        <v>0</v>
      </c>
      <c r="BH137" s="138">
        <f>IF(N137="nulová",J137,0)</f>
        <v>0</v>
      </c>
      <c r="BI137" s="128" t="s">
        <v>88</v>
      </c>
      <c r="BJ137" s="166">
        <f>ROUND(I137*H137,3)</f>
        <v>0</v>
      </c>
      <c r="BK137" s="128" t="s">
        <v>197</v>
      </c>
      <c r="BL137" s="128" t="s">
        <v>221</v>
      </c>
    </row>
    <row r="138" spans="2:64" s="158" customFormat="1" ht="22.9" customHeight="1" x14ac:dyDescent="0.2">
      <c r="B138" s="157"/>
      <c r="D138" s="159" t="s">
        <v>123</v>
      </c>
      <c r="E138" s="167" t="s">
        <v>223</v>
      </c>
      <c r="F138" s="167" t="s">
        <v>224</v>
      </c>
      <c r="J138" s="168">
        <f>SUM(J139:J141)</f>
        <v>0</v>
      </c>
      <c r="L138" s="157"/>
      <c r="M138" s="162"/>
      <c r="P138" s="163">
        <f>SUM(P139:P141)</f>
        <v>52.207859999999997</v>
      </c>
      <c r="R138" s="163">
        <f>SUM(R139:R141)</f>
        <v>4.3200000000000002E-2</v>
      </c>
      <c r="T138" s="164">
        <f>SUM(T139:T141)</f>
        <v>2.706</v>
      </c>
      <c r="AQ138" s="159" t="s">
        <v>88</v>
      </c>
      <c r="AS138" s="165" t="s">
        <v>123</v>
      </c>
      <c r="AT138" s="165" t="s">
        <v>42</v>
      </c>
      <c r="AX138" s="159" t="s">
        <v>126</v>
      </c>
      <c r="BJ138" s="166">
        <f>SUM(BJ139:BJ141)</f>
        <v>0</v>
      </c>
    </row>
    <row r="139" spans="2:64" s="26" customFormat="1" ht="16.5" customHeight="1" x14ac:dyDescent="0.25">
      <c r="B139" s="169"/>
      <c r="C139" s="170">
        <v>33</v>
      </c>
      <c r="D139" s="170" t="s">
        <v>129</v>
      </c>
      <c r="E139" s="171" t="s">
        <v>225</v>
      </c>
      <c r="F139" s="172" t="s">
        <v>226</v>
      </c>
      <c r="G139" s="173" t="s">
        <v>205</v>
      </c>
      <c r="H139" s="174">
        <v>24</v>
      </c>
      <c r="I139" s="174"/>
      <c r="J139" s="174">
        <f>ROUND(I139*H139,3)</f>
        <v>0</v>
      </c>
      <c r="K139" s="172" t="s">
        <v>9</v>
      </c>
      <c r="L139" s="132"/>
      <c r="M139" s="175" t="s">
        <v>9</v>
      </c>
      <c r="N139" s="176" t="s">
        <v>27</v>
      </c>
      <c r="O139" s="177">
        <v>0.50117999999999996</v>
      </c>
      <c r="P139" s="177">
        <f>O139*H139</f>
        <v>12.028319999999999</v>
      </c>
      <c r="Q139" s="177">
        <v>1.6000000000000001E-3</v>
      </c>
      <c r="R139" s="177">
        <f>Q139*H139</f>
        <v>3.8400000000000004E-2</v>
      </c>
      <c r="S139" s="177">
        <v>0</v>
      </c>
      <c r="T139" s="178">
        <f>S139*H139</f>
        <v>0</v>
      </c>
      <c r="AQ139" s="128" t="s">
        <v>197</v>
      </c>
      <c r="AS139" s="128" t="s">
        <v>129</v>
      </c>
      <c r="AT139" s="128" t="s">
        <v>88</v>
      </c>
      <c r="AX139" s="128" t="s">
        <v>126</v>
      </c>
      <c r="BD139" s="138">
        <f>IF(N139="základná",J139,0)</f>
        <v>0</v>
      </c>
      <c r="BE139" s="138">
        <f>IF(N139="znížená",J139,0)</f>
        <v>0</v>
      </c>
      <c r="BF139" s="138">
        <f>IF(N139="zákl. prenesená",J139,0)</f>
        <v>0</v>
      </c>
      <c r="BG139" s="138">
        <f>IF(N139="zníž. prenesená",J139,0)</f>
        <v>0</v>
      </c>
      <c r="BH139" s="138">
        <f>IF(N139="nulová",J139,0)</f>
        <v>0</v>
      </c>
      <c r="BI139" s="128" t="s">
        <v>88</v>
      </c>
      <c r="BJ139" s="166">
        <f>ROUND(I139*H139,3)</f>
        <v>0</v>
      </c>
      <c r="BK139" s="128" t="s">
        <v>197</v>
      </c>
      <c r="BL139" s="128" t="s">
        <v>227</v>
      </c>
    </row>
    <row r="140" spans="2:64" s="26" customFormat="1" ht="16.5" customHeight="1" x14ac:dyDescent="0.25">
      <c r="B140" s="169"/>
      <c r="C140" s="170">
        <v>34</v>
      </c>
      <c r="D140" s="170" t="s">
        <v>129</v>
      </c>
      <c r="E140" s="171" t="s">
        <v>232</v>
      </c>
      <c r="F140" s="172" t="s">
        <v>233</v>
      </c>
      <c r="G140" s="173" t="s">
        <v>234</v>
      </c>
      <c r="H140" s="174">
        <v>132</v>
      </c>
      <c r="I140" s="174"/>
      <c r="J140" s="174">
        <f>ROUND(I140*H140,3)</f>
        <v>0</v>
      </c>
      <c r="K140" s="172" t="s">
        <v>9</v>
      </c>
      <c r="L140" s="132"/>
      <c r="M140" s="175" t="s">
        <v>9</v>
      </c>
      <c r="N140" s="176" t="s">
        <v>27</v>
      </c>
      <c r="O140" s="177">
        <v>0.29299999999999998</v>
      </c>
      <c r="P140" s="177">
        <f>O140*H140</f>
        <v>38.675999999999995</v>
      </c>
      <c r="Q140" s="177">
        <v>0</v>
      </c>
      <c r="R140" s="177">
        <f>Q140*H140</f>
        <v>0</v>
      </c>
      <c r="S140" s="177">
        <v>2.0500000000000001E-2</v>
      </c>
      <c r="T140" s="178">
        <f>S140*H140</f>
        <v>2.706</v>
      </c>
      <c r="AQ140" s="128" t="s">
        <v>197</v>
      </c>
      <c r="AS140" s="128" t="s">
        <v>129</v>
      </c>
      <c r="AT140" s="128" t="s">
        <v>88</v>
      </c>
      <c r="AX140" s="128" t="s">
        <v>126</v>
      </c>
      <c r="BD140" s="138">
        <f>IF(N140="základná",J140,0)</f>
        <v>0</v>
      </c>
      <c r="BE140" s="138">
        <f>IF(N140="znížená",J140,0)</f>
        <v>0</v>
      </c>
      <c r="BF140" s="138">
        <f>IF(N140="zákl. prenesená",J140,0)</f>
        <v>0</v>
      </c>
      <c r="BG140" s="138">
        <f>IF(N140="zníž. prenesená",J140,0)</f>
        <v>0</v>
      </c>
      <c r="BH140" s="138">
        <f>IF(N140="nulová",J140,0)</f>
        <v>0</v>
      </c>
      <c r="BI140" s="128" t="s">
        <v>88</v>
      </c>
      <c r="BJ140" s="166">
        <f>ROUND(I140*H140,3)</f>
        <v>0</v>
      </c>
      <c r="BK140" s="128" t="s">
        <v>197</v>
      </c>
      <c r="BL140" s="128" t="s">
        <v>235</v>
      </c>
    </row>
    <row r="141" spans="2:64" s="26" customFormat="1" ht="16.5" customHeight="1" x14ac:dyDescent="0.25">
      <c r="B141" s="169"/>
      <c r="C141" s="170">
        <v>35</v>
      </c>
      <c r="D141" s="170" t="s">
        <v>129</v>
      </c>
      <c r="E141" s="171" t="s">
        <v>239</v>
      </c>
      <c r="F141" s="172" t="s">
        <v>240</v>
      </c>
      <c r="G141" s="173" t="s">
        <v>205</v>
      </c>
      <c r="H141" s="174">
        <v>3</v>
      </c>
      <c r="I141" s="174"/>
      <c r="J141" s="174">
        <f>ROUND(I141*H141,3)</f>
        <v>0</v>
      </c>
      <c r="K141" s="172" t="s">
        <v>9</v>
      </c>
      <c r="L141" s="132"/>
      <c r="M141" s="175" t="s">
        <v>9</v>
      </c>
      <c r="N141" s="176" t="s">
        <v>27</v>
      </c>
      <c r="O141" s="177">
        <v>0.50117999999999996</v>
      </c>
      <c r="P141" s="177">
        <f>O141*H141</f>
        <v>1.5035399999999999</v>
      </c>
      <c r="Q141" s="177">
        <v>1.6000000000000001E-3</v>
      </c>
      <c r="R141" s="177">
        <f>Q141*H141</f>
        <v>4.8000000000000004E-3</v>
      </c>
      <c r="S141" s="177">
        <v>0</v>
      </c>
      <c r="T141" s="178">
        <f>S141*H141</f>
        <v>0</v>
      </c>
      <c r="AQ141" s="128" t="s">
        <v>197</v>
      </c>
      <c r="AS141" s="128" t="s">
        <v>129</v>
      </c>
      <c r="AT141" s="128" t="s">
        <v>88</v>
      </c>
      <c r="AX141" s="128" t="s">
        <v>126</v>
      </c>
      <c r="BD141" s="138">
        <f>IF(N141="základná",J141,0)</f>
        <v>0</v>
      </c>
      <c r="BE141" s="138">
        <f>IF(N141="znížená",J141,0)</f>
        <v>0</v>
      </c>
      <c r="BF141" s="138">
        <f>IF(N141="zákl. prenesená",J141,0)</f>
        <v>0</v>
      </c>
      <c r="BG141" s="138">
        <f>IF(N141="zníž. prenesená",J141,0)</f>
        <v>0</v>
      </c>
      <c r="BH141" s="138">
        <f>IF(N141="nulová",J141,0)</f>
        <v>0</v>
      </c>
      <c r="BI141" s="128" t="s">
        <v>88</v>
      </c>
      <c r="BJ141" s="166">
        <f>ROUND(I141*H141,3)</f>
        <v>0</v>
      </c>
      <c r="BK141" s="128" t="s">
        <v>197</v>
      </c>
      <c r="BL141" s="128" t="s">
        <v>241</v>
      </c>
    </row>
    <row r="142" spans="2:64" s="158" customFormat="1" ht="22.9" customHeight="1" x14ac:dyDescent="0.2">
      <c r="B142" s="157"/>
      <c r="D142" s="159"/>
      <c r="E142" s="167"/>
      <c r="F142" s="167"/>
      <c r="J142" s="168"/>
      <c r="L142" s="157"/>
      <c r="M142" s="209"/>
      <c r="N142" s="210"/>
      <c r="O142" s="210"/>
      <c r="P142" s="211"/>
      <c r="Q142" s="210"/>
      <c r="R142" s="211"/>
      <c r="S142" s="210"/>
      <c r="T142" s="212"/>
      <c r="AQ142" s="159"/>
      <c r="AS142" s="165"/>
      <c r="AT142" s="165"/>
      <c r="AX142" s="159"/>
      <c r="BJ142" s="166"/>
    </row>
    <row r="143" spans="2:64" s="26" customFormat="1" ht="6.95" customHeight="1" x14ac:dyDescent="0.25">
      <c r="B143" s="141"/>
      <c r="C143" s="36"/>
      <c r="D143" s="36"/>
      <c r="E143" s="36"/>
      <c r="F143" s="36"/>
      <c r="G143" s="36"/>
      <c r="H143" s="36"/>
      <c r="I143" s="36"/>
      <c r="J143" s="36"/>
      <c r="K143" s="36"/>
      <c r="L143" s="132"/>
    </row>
  </sheetData>
  <mergeCells count="10">
    <mergeCell ref="E50:H50"/>
    <mergeCell ref="E76:H76"/>
    <mergeCell ref="E78:H78"/>
    <mergeCell ref="L92:L101"/>
    <mergeCell ref="L2:U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topLeftCell="A81" workbookViewId="0">
      <selection activeCell="I91" sqref="I91:I135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67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66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ROUND(J88,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ROUND((SUM(BE88:BE126)),  2)</f>
        <v>0</v>
      </c>
      <c r="I33" s="139">
        <v>0.2</v>
      </c>
      <c r="J33" s="138">
        <f>ROUND(((SUM(BE88:BE126))*I33),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ROUND((SUM(BF88:BF126)),  2)</f>
        <v>0</v>
      </c>
      <c r="I34" s="139">
        <v>0.2</v>
      </c>
      <c r="J34" s="138">
        <f>ROUND(((SUM(BF88:BF126))*I34),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ROUND((SUM(BG88:BG126)),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ROUND((SUM(BH88:BH126)),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ROUND((SUM(BI88:BI126)),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G 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J88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J89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J90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J93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J95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J96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J111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J115</f>
        <v>0</v>
      </c>
      <c r="L66" s="83"/>
    </row>
    <row r="67" spans="2:12" s="147" customFormat="1" ht="15" x14ac:dyDescent="0.25">
      <c r="B67" s="78"/>
      <c r="D67" s="80" t="s">
        <v>252</v>
      </c>
      <c r="E67" s="81"/>
      <c r="F67" s="81"/>
      <c r="G67" s="81"/>
      <c r="H67" s="81"/>
      <c r="I67" s="81"/>
      <c r="J67" s="82">
        <f>J124</f>
        <v>0</v>
      </c>
      <c r="L67" s="78"/>
    </row>
    <row r="68" spans="2:12" s="148" customFormat="1" ht="12.75" x14ac:dyDescent="0.25">
      <c r="B68" s="83"/>
      <c r="D68" s="85" t="s">
        <v>253</v>
      </c>
      <c r="E68" s="86"/>
      <c r="F68" s="86"/>
      <c r="G68" s="86"/>
      <c r="H68" s="86"/>
      <c r="I68" s="86"/>
      <c r="J68" s="87">
        <f>J125</f>
        <v>0</v>
      </c>
      <c r="L68" s="83"/>
    </row>
    <row r="69" spans="2:12" s="26" customFormat="1" x14ac:dyDescent="0.25">
      <c r="B69" s="132"/>
      <c r="L69" s="132"/>
    </row>
    <row r="70" spans="2:12" s="26" customFormat="1" x14ac:dyDescent="0.25">
      <c r="B70" s="141"/>
      <c r="C70" s="36"/>
      <c r="D70" s="36"/>
      <c r="E70" s="36"/>
      <c r="F70" s="36"/>
      <c r="G70" s="36"/>
      <c r="H70" s="36"/>
      <c r="I70" s="36"/>
      <c r="J70" s="36"/>
      <c r="K70" s="36"/>
      <c r="L70" s="132"/>
    </row>
    <row r="74" spans="2:12" s="26" customFormat="1" x14ac:dyDescent="0.25">
      <c r="B74" s="142"/>
      <c r="C74" s="37"/>
      <c r="D74" s="37"/>
      <c r="E74" s="37"/>
      <c r="F74" s="37"/>
      <c r="G74" s="37"/>
      <c r="H74" s="37"/>
      <c r="I74" s="37"/>
      <c r="J74" s="37"/>
      <c r="K74" s="37"/>
      <c r="L74" s="132"/>
    </row>
    <row r="75" spans="2:12" s="26" customFormat="1" ht="18" x14ac:dyDescent="0.25">
      <c r="B75" s="132"/>
      <c r="C75" s="131" t="s">
        <v>109</v>
      </c>
      <c r="L75" s="132"/>
    </row>
    <row r="76" spans="2:12" s="26" customFormat="1" x14ac:dyDescent="0.25">
      <c r="B76" s="132"/>
      <c r="L76" s="132"/>
    </row>
    <row r="77" spans="2:12" s="26" customFormat="1" x14ac:dyDescent="0.25">
      <c r="B77" s="132"/>
      <c r="C77" s="128" t="s">
        <v>7</v>
      </c>
      <c r="L77" s="132"/>
    </row>
    <row r="78" spans="2:12" s="26" customFormat="1" x14ac:dyDescent="0.25">
      <c r="B78" s="132"/>
      <c r="E78" s="278" t="str">
        <f>E7</f>
        <v>Nemocnica Sv. Cyrila a Metoda v Bratislave</v>
      </c>
      <c r="F78" s="279"/>
      <c r="G78" s="279"/>
      <c r="H78" s="279"/>
      <c r="L78" s="132"/>
    </row>
    <row r="79" spans="2:12" s="26" customFormat="1" x14ac:dyDescent="0.25">
      <c r="B79" s="132"/>
      <c r="C79" s="128" t="s">
        <v>96</v>
      </c>
      <c r="L79" s="132"/>
    </row>
    <row r="80" spans="2:12" s="26" customFormat="1" ht="15" customHeight="1" x14ac:dyDescent="0.25">
      <c r="B80" s="132"/>
      <c r="E80" s="276" t="s">
        <v>566</v>
      </c>
      <c r="F80" s="277"/>
      <c r="G80" s="277"/>
      <c r="H80" s="277"/>
      <c r="L80" s="132"/>
    </row>
    <row r="81" spans="2:65" s="26" customFormat="1" ht="6.95" customHeight="1" x14ac:dyDescent="0.25">
      <c r="B81" s="132"/>
      <c r="L81" s="132"/>
    </row>
    <row r="82" spans="2:65" s="26" customFormat="1" ht="12" customHeight="1" x14ac:dyDescent="0.25">
      <c r="B82" s="132"/>
      <c r="C82" s="128" t="s">
        <v>11</v>
      </c>
      <c r="F82" s="128" t="str">
        <f>F12</f>
        <v xml:space="preserve"> </v>
      </c>
      <c r="I82" s="128" t="s">
        <v>13</v>
      </c>
      <c r="J82" s="41" t="e">
        <f>IF(J12="","",J12)</f>
        <v>#REF!</v>
      </c>
      <c r="L82" s="132"/>
    </row>
    <row r="83" spans="2:65" s="26" customFormat="1" ht="6.95" customHeight="1" x14ac:dyDescent="0.25">
      <c r="B83" s="132"/>
      <c r="L83" s="132"/>
    </row>
    <row r="84" spans="2:65" s="26" customFormat="1" ht="13.7" customHeight="1" x14ac:dyDescent="0.25">
      <c r="B84" s="132"/>
      <c r="C84" s="128" t="s">
        <v>14</v>
      </c>
      <c r="F84" s="128" t="str">
        <f>E15</f>
        <v xml:space="preserve"> </v>
      </c>
      <c r="I84" s="128" t="s">
        <v>18</v>
      </c>
      <c r="J84" s="143" t="str">
        <f>E21</f>
        <v xml:space="preserve"> </v>
      </c>
      <c r="L84" s="132"/>
    </row>
    <row r="85" spans="2:65" s="26" customFormat="1" ht="13.7" customHeight="1" x14ac:dyDescent="0.25">
      <c r="B85" s="132"/>
      <c r="C85" s="128" t="s">
        <v>17</v>
      </c>
      <c r="F85" s="128" t="str">
        <f>IF(E18="","",E18)</f>
        <v xml:space="preserve"> </v>
      </c>
      <c r="I85" s="128" t="s">
        <v>19</v>
      </c>
      <c r="J85" s="143" t="str">
        <f>E24</f>
        <v xml:space="preserve"> </v>
      </c>
      <c r="L85" s="132"/>
    </row>
    <row r="86" spans="2:65" s="26" customFormat="1" ht="10.35" customHeight="1" x14ac:dyDescent="0.25">
      <c r="B86" s="132"/>
      <c r="L86" s="132"/>
    </row>
    <row r="87" spans="2:65" s="151" customFormat="1" ht="29.25" customHeight="1" x14ac:dyDescent="0.25">
      <c r="B87" s="149"/>
      <c r="C87" s="89" t="s">
        <v>111</v>
      </c>
      <c r="D87" s="90" t="s">
        <v>112</v>
      </c>
      <c r="E87" s="90" t="s">
        <v>35</v>
      </c>
      <c r="F87" s="90" t="s">
        <v>36</v>
      </c>
      <c r="G87" s="90" t="s">
        <v>113</v>
      </c>
      <c r="H87" s="90" t="s">
        <v>114</v>
      </c>
      <c r="I87" s="90" t="s">
        <v>115</v>
      </c>
      <c r="J87" s="91" t="s">
        <v>99</v>
      </c>
      <c r="K87" s="150" t="s">
        <v>116</v>
      </c>
      <c r="L87" s="149"/>
      <c r="M87" s="89" t="s">
        <v>9</v>
      </c>
      <c r="N87" s="90" t="s">
        <v>25</v>
      </c>
      <c r="O87" s="90" t="s">
        <v>117</v>
      </c>
      <c r="P87" s="90" t="s">
        <v>118</v>
      </c>
      <c r="Q87" s="90" t="s">
        <v>119</v>
      </c>
      <c r="R87" s="90" t="s">
        <v>120</v>
      </c>
      <c r="S87" s="90" t="s">
        <v>121</v>
      </c>
      <c r="T87" s="91" t="s">
        <v>122</v>
      </c>
    </row>
    <row r="88" spans="2:65" s="26" customFormat="1" ht="22.9" customHeight="1" x14ac:dyDescent="0.25">
      <c r="B88" s="132"/>
      <c r="C88" s="146" t="s">
        <v>100</v>
      </c>
      <c r="J88" s="152">
        <f>J89+J95+J124+J128</f>
        <v>0</v>
      </c>
      <c r="L88" s="132"/>
      <c r="M88" s="153"/>
      <c r="N88" s="134"/>
      <c r="O88" s="134"/>
      <c r="P88" s="154">
        <f>P89+P95+P124</f>
        <v>994.72538129999998</v>
      </c>
      <c r="Q88" s="134"/>
      <c r="R88" s="154">
        <f>R89+R95+R124</f>
        <v>20.639584188749996</v>
      </c>
      <c r="S88" s="134"/>
      <c r="T88" s="155">
        <f>T89+T95+T124</f>
        <v>0</v>
      </c>
      <c r="AT88" s="128" t="s">
        <v>123</v>
      </c>
      <c r="AU88" s="128" t="s">
        <v>101</v>
      </c>
      <c r="BK88" s="156">
        <f>BK89+BK95+BK124</f>
        <v>0</v>
      </c>
    </row>
    <row r="89" spans="2:65" s="158" customFormat="1" ht="25.9" customHeight="1" x14ac:dyDescent="0.2">
      <c r="B89" s="157"/>
      <c r="D89" s="159" t="s">
        <v>123</v>
      </c>
      <c r="E89" s="160" t="s">
        <v>124</v>
      </c>
      <c r="F89" s="160" t="s">
        <v>125</v>
      </c>
      <c r="J89" s="161">
        <f>J90+J93</f>
        <v>0</v>
      </c>
      <c r="L89" s="157"/>
      <c r="M89" s="162"/>
      <c r="P89" s="163">
        <f>P90+P93</f>
        <v>129.809314</v>
      </c>
      <c r="R89" s="163">
        <f>R90+R93</f>
        <v>4.0050187800000003</v>
      </c>
      <c r="T89" s="164">
        <f>T90+T93</f>
        <v>0</v>
      </c>
      <c r="AR89" s="159" t="s">
        <v>42</v>
      </c>
      <c r="AT89" s="165" t="s">
        <v>123</v>
      </c>
      <c r="AU89" s="165" t="s">
        <v>39</v>
      </c>
      <c r="AY89" s="159" t="s">
        <v>126</v>
      </c>
      <c r="BK89" s="166">
        <f>BK90+BK93</f>
        <v>0</v>
      </c>
    </row>
    <row r="90" spans="2:65" s="158" customFormat="1" ht="22.9" customHeight="1" x14ac:dyDescent="0.2">
      <c r="B90" s="157"/>
      <c r="D90" s="159" t="s">
        <v>123</v>
      </c>
      <c r="E90" s="167" t="s">
        <v>127</v>
      </c>
      <c r="F90" s="167" t="s">
        <v>128</v>
      </c>
      <c r="J90" s="168">
        <f>BK90</f>
        <v>0</v>
      </c>
      <c r="L90" s="157"/>
      <c r="M90" s="162"/>
      <c r="P90" s="163">
        <f>SUM(P91:P92)</f>
        <v>128.18513400000001</v>
      </c>
      <c r="R90" s="163">
        <f>SUM(R91:R92)</f>
        <v>4.0050187800000003</v>
      </c>
      <c r="T90" s="164">
        <f>SUM(T91:T92)</f>
        <v>0</v>
      </c>
      <c r="AR90" s="159" t="s">
        <v>42</v>
      </c>
      <c r="AT90" s="165" t="s">
        <v>123</v>
      </c>
      <c r="AU90" s="165" t="s">
        <v>42</v>
      </c>
      <c r="AY90" s="159" t="s">
        <v>126</v>
      </c>
      <c r="BK90" s="166">
        <f>SUM(BK91:BK92)</f>
        <v>0</v>
      </c>
    </row>
    <row r="91" spans="2:65" s="26" customFormat="1" ht="16.5" customHeight="1" x14ac:dyDescent="0.25">
      <c r="B91" s="169"/>
      <c r="C91" s="170" t="s">
        <v>42</v>
      </c>
      <c r="D91" s="170" t="s">
        <v>129</v>
      </c>
      <c r="E91" s="171" t="s">
        <v>272</v>
      </c>
      <c r="F91" s="172" t="s">
        <v>423</v>
      </c>
      <c r="G91" s="173" t="s">
        <v>136</v>
      </c>
      <c r="H91" s="174">
        <f>H102*0.7</f>
        <v>613.32600000000002</v>
      </c>
      <c r="I91" s="174"/>
      <c r="J91" s="174">
        <f>ROUND(I91*H91,3)</f>
        <v>0</v>
      </c>
      <c r="K91" s="172" t="s">
        <v>156</v>
      </c>
      <c r="L91" s="132"/>
      <c r="M91" s="175" t="s">
        <v>9</v>
      </c>
      <c r="N91" s="176" t="s">
        <v>27</v>
      </c>
      <c r="O91" s="177">
        <v>0.20899999999999999</v>
      </c>
      <c r="P91" s="177">
        <f>O91*H91</f>
        <v>128.18513400000001</v>
      </c>
      <c r="Q91" s="177">
        <v>6.5300000000000002E-3</v>
      </c>
      <c r="R91" s="177">
        <f>Q91*H91</f>
        <v>4.0050187800000003</v>
      </c>
      <c r="S91" s="177">
        <v>0</v>
      </c>
      <c r="T91" s="178">
        <f>S91*H91</f>
        <v>0</v>
      </c>
      <c r="AR91" s="128" t="s">
        <v>132</v>
      </c>
      <c r="AT91" s="128" t="s">
        <v>129</v>
      </c>
      <c r="AU91" s="128" t="s">
        <v>88</v>
      </c>
      <c r="AY91" s="128" t="s">
        <v>126</v>
      </c>
      <c r="BE91" s="138">
        <f>IF(N91="základná",J91,0)</f>
        <v>0</v>
      </c>
      <c r="BF91" s="138">
        <f>IF(N91="znížená",J91,0)</f>
        <v>0</v>
      </c>
      <c r="BG91" s="138">
        <f>IF(N91="zákl. prenesená",J91,0)</f>
        <v>0</v>
      </c>
      <c r="BH91" s="138">
        <f>IF(N91="zníž. prenesená",J91,0)</f>
        <v>0</v>
      </c>
      <c r="BI91" s="138">
        <f>IF(N91="nulová",J91,0)</f>
        <v>0</v>
      </c>
      <c r="BJ91" s="128" t="s">
        <v>88</v>
      </c>
      <c r="BK91" s="166">
        <f>ROUND(I91*H91,3)</f>
        <v>0</v>
      </c>
      <c r="BL91" s="128" t="s">
        <v>132</v>
      </c>
      <c r="BM91" s="128" t="s">
        <v>274</v>
      </c>
    </row>
    <row r="92" spans="2:65" s="26" customFormat="1" x14ac:dyDescent="0.25">
      <c r="B92" s="132"/>
      <c r="D92" s="179" t="s">
        <v>161</v>
      </c>
      <c r="E92" s="128" t="s">
        <v>9</v>
      </c>
      <c r="F92" s="143" t="s">
        <v>275</v>
      </c>
      <c r="H92" s="166"/>
      <c r="L92" s="132"/>
      <c r="M92" s="180"/>
      <c r="T92" s="181"/>
      <c r="AT92" s="128" t="s">
        <v>161</v>
      </c>
      <c r="AU92" s="128" t="s">
        <v>88</v>
      </c>
      <c r="AV92" s="26" t="s">
        <v>88</v>
      </c>
      <c r="AW92" s="26" t="s">
        <v>163</v>
      </c>
      <c r="AX92" s="26" t="s">
        <v>42</v>
      </c>
      <c r="AY92" s="128" t="s">
        <v>126</v>
      </c>
    </row>
    <row r="93" spans="2:65" s="158" customFormat="1" ht="22.9" customHeight="1" x14ac:dyDescent="0.2">
      <c r="B93" s="157"/>
      <c r="D93" s="159" t="s">
        <v>123</v>
      </c>
      <c r="E93" s="167" t="s">
        <v>276</v>
      </c>
      <c r="F93" s="167" t="s">
        <v>277</v>
      </c>
      <c r="J93" s="168">
        <f>BK93</f>
        <v>0</v>
      </c>
      <c r="L93" s="157"/>
      <c r="M93" s="162"/>
      <c r="P93" s="163">
        <f>P94</f>
        <v>1.6241800000000002</v>
      </c>
      <c r="R93" s="163">
        <f>R94</f>
        <v>0</v>
      </c>
      <c r="T93" s="164">
        <f>T94</f>
        <v>0</v>
      </c>
      <c r="AR93" s="159" t="s">
        <v>42</v>
      </c>
      <c r="AT93" s="165" t="s">
        <v>123</v>
      </c>
      <c r="AU93" s="165" t="s">
        <v>42</v>
      </c>
      <c r="AY93" s="159" t="s">
        <v>126</v>
      </c>
      <c r="BK93" s="166">
        <f>BK94</f>
        <v>0</v>
      </c>
    </row>
    <row r="94" spans="2:65" s="26" customFormat="1" ht="16.5" customHeight="1" x14ac:dyDescent="0.25">
      <c r="B94" s="169"/>
      <c r="C94" s="170" t="s">
        <v>88</v>
      </c>
      <c r="D94" s="170" t="s">
        <v>129</v>
      </c>
      <c r="E94" s="171" t="s">
        <v>278</v>
      </c>
      <c r="F94" s="172" t="s">
        <v>279</v>
      </c>
      <c r="G94" s="173" t="s">
        <v>146</v>
      </c>
      <c r="H94" s="174">
        <v>4.7770000000000001</v>
      </c>
      <c r="I94" s="174"/>
      <c r="J94" s="174">
        <f>ROUND(I94*H94,3)</f>
        <v>0</v>
      </c>
      <c r="K94" s="172" t="s">
        <v>156</v>
      </c>
      <c r="L94" s="132"/>
      <c r="M94" s="175" t="s">
        <v>9</v>
      </c>
      <c r="N94" s="176" t="s">
        <v>27</v>
      </c>
      <c r="O94" s="177">
        <v>0.34</v>
      </c>
      <c r="P94" s="177">
        <f>O94*H94</f>
        <v>1.6241800000000002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28" t="s">
        <v>132</v>
      </c>
      <c r="AT94" s="128" t="s">
        <v>129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280</v>
      </c>
    </row>
    <row r="95" spans="2:65" s="158" customFormat="1" ht="25.9" customHeight="1" x14ac:dyDescent="0.2">
      <c r="B95" s="157"/>
      <c r="D95" s="159" t="s">
        <v>123</v>
      </c>
      <c r="E95" s="160" t="s">
        <v>191</v>
      </c>
      <c r="F95" s="160" t="s">
        <v>192</v>
      </c>
      <c r="J95" s="161">
        <f>J96+J111+J115+J120</f>
        <v>0</v>
      </c>
      <c r="L95" s="157"/>
      <c r="M95" s="162"/>
      <c r="P95" s="163">
        <f>P96+P111+P115</f>
        <v>864.76606730000003</v>
      </c>
      <c r="R95" s="163">
        <f>R96+R111+R115</f>
        <v>16.634565408749996</v>
      </c>
      <c r="T95" s="164">
        <f>T96+T111+T115</f>
        <v>0</v>
      </c>
      <c r="AR95" s="159" t="s">
        <v>88</v>
      </c>
      <c r="AT95" s="165" t="s">
        <v>123</v>
      </c>
      <c r="AU95" s="165" t="s">
        <v>39</v>
      </c>
      <c r="AY95" s="159" t="s">
        <v>126</v>
      </c>
      <c r="BK95" s="166">
        <f>BK96+BK111+BK115</f>
        <v>0</v>
      </c>
    </row>
    <row r="96" spans="2:65" s="158" customFormat="1" ht="22.9" customHeight="1" x14ac:dyDescent="0.2">
      <c r="B96" s="157"/>
      <c r="D96" s="159" t="s">
        <v>123</v>
      </c>
      <c r="E96" s="167" t="s">
        <v>193</v>
      </c>
      <c r="F96" s="167" t="s">
        <v>194</v>
      </c>
      <c r="J96" s="168">
        <f>SUM(J97:J110)</f>
        <v>0</v>
      </c>
      <c r="L96" s="157"/>
      <c r="M96" s="162"/>
      <c r="P96" s="163">
        <f>SUM(P97:P110)</f>
        <v>523.37689130000001</v>
      </c>
      <c r="R96" s="163">
        <f>SUM(R97:R110)</f>
        <v>13.571635199999998</v>
      </c>
      <c r="T96" s="164">
        <f>SUM(T97:T110)</f>
        <v>0</v>
      </c>
      <c r="AR96" s="159" t="s">
        <v>88</v>
      </c>
      <c r="AT96" s="165" t="s">
        <v>123</v>
      </c>
      <c r="AU96" s="165" t="s">
        <v>42</v>
      </c>
      <c r="AY96" s="159" t="s">
        <v>126</v>
      </c>
      <c r="BK96" s="166">
        <f>SUM(BK97:BK110)</f>
        <v>0</v>
      </c>
    </row>
    <row r="97" spans="2:65" s="26" customFormat="1" ht="16.5" customHeight="1" x14ac:dyDescent="0.25">
      <c r="B97" s="169"/>
      <c r="C97" s="170" t="s">
        <v>140</v>
      </c>
      <c r="D97" s="170" t="s">
        <v>129</v>
      </c>
      <c r="E97" s="171" t="s">
        <v>281</v>
      </c>
      <c r="F97" s="172" t="s">
        <v>282</v>
      </c>
      <c r="G97" s="173" t="s">
        <v>136</v>
      </c>
      <c r="H97" s="174">
        <f>H102+H103</f>
        <v>1024.23</v>
      </c>
      <c r="I97" s="174"/>
      <c r="J97" s="174">
        <f>ROUND(I97*H97,3)</f>
        <v>0</v>
      </c>
      <c r="K97" s="172" t="s">
        <v>156</v>
      </c>
      <c r="L97" s="132"/>
      <c r="M97" s="175" t="s">
        <v>9</v>
      </c>
      <c r="N97" s="176" t="s">
        <v>27</v>
      </c>
      <c r="O97" s="177">
        <v>4.3029999999999999E-2</v>
      </c>
      <c r="P97" s="177">
        <f>O97*H97</f>
        <v>44.0726169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197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197</v>
      </c>
      <c r="BM97" s="128" t="s">
        <v>283</v>
      </c>
    </row>
    <row r="98" spans="2:65" s="26" customFormat="1" ht="16.5" customHeight="1" x14ac:dyDescent="0.25">
      <c r="B98" s="169"/>
      <c r="C98" s="187" t="s">
        <v>132</v>
      </c>
      <c r="D98" s="187" t="s">
        <v>261</v>
      </c>
      <c r="E98" s="188" t="s">
        <v>284</v>
      </c>
      <c r="F98" s="189" t="s">
        <v>285</v>
      </c>
      <c r="G98" s="190" t="s">
        <v>146</v>
      </c>
      <c r="H98" s="191">
        <f>H97*0.00075</f>
        <v>0.76817250000000004</v>
      </c>
      <c r="I98" s="191"/>
      <c r="J98" s="191">
        <f>ROUND(I98*H98,3)</f>
        <v>0</v>
      </c>
      <c r="K98" s="189" t="s">
        <v>156</v>
      </c>
      <c r="L98" s="199"/>
      <c r="M98" s="200" t="s">
        <v>9</v>
      </c>
      <c r="N98" s="201" t="s">
        <v>27</v>
      </c>
      <c r="O98" s="177">
        <v>0</v>
      </c>
      <c r="P98" s="177">
        <f>O98*H98</f>
        <v>0</v>
      </c>
      <c r="Q98" s="177">
        <v>1</v>
      </c>
      <c r="R98" s="177">
        <f>Q98*H98</f>
        <v>0.76817250000000004</v>
      </c>
      <c r="S98" s="177">
        <v>0</v>
      </c>
      <c r="T98" s="178">
        <f>S98*H98</f>
        <v>0</v>
      </c>
      <c r="AR98" s="128" t="s">
        <v>286</v>
      </c>
      <c r="AT98" s="128" t="s">
        <v>261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197</v>
      </c>
      <c r="BM98" s="128" t="s">
        <v>287</v>
      </c>
    </row>
    <row r="99" spans="2:65" s="26" customFormat="1" x14ac:dyDescent="0.25">
      <c r="B99" s="132"/>
      <c r="D99" s="179" t="s">
        <v>161</v>
      </c>
      <c r="F99" s="143" t="s">
        <v>567</v>
      </c>
      <c r="H99" s="166">
        <v>0.76800000000000002</v>
      </c>
      <c r="L99" s="132"/>
      <c r="M99" s="180"/>
      <c r="T99" s="181"/>
      <c r="AT99" s="128" t="s">
        <v>161</v>
      </c>
      <c r="AU99" s="128" t="s">
        <v>88</v>
      </c>
      <c r="AV99" s="26" t="s">
        <v>88</v>
      </c>
      <c r="AW99" s="26" t="s">
        <v>1</v>
      </c>
      <c r="AX99" s="26" t="s">
        <v>42</v>
      </c>
      <c r="AY99" s="128" t="s">
        <v>126</v>
      </c>
    </row>
    <row r="100" spans="2:65" s="26" customFormat="1" ht="22.5" customHeight="1" x14ac:dyDescent="0.25">
      <c r="B100" s="169"/>
      <c r="C100" s="170" t="s">
        <v>422</v>
      </c>
      <c r="D100" s="170" t="s">
        <v>129</v>
      </c>
      <c r="E100" s="171" t="s">
        <v>289</v>
      </c>
      <c r="F100" s="172" t="s">
        <v>290</v>
      </c>
      <c r="G100" s="173" t="s">
        <v>136</v>
      </c>
      <c r="H100" s="174">
        <v>190.88</v>
      </c>
      <c r="I100" s="174"/>
      <c r="J100" s="174">
        <f>ROUND(I100*H100,3)</f>
        <v>0</v>
      </c>
      <c r="K100" s="172" t="s">
        <v>156</v>
      </c>
      <c r="L100" s="132"/>
      <c r="M100" s="175" t="s">
        <v>9</v>
      </c>
      <c r="N100" s="176" t="s">
        <v>27</v>
      </c>
      <c r="O100" s="177">
        <v>0.17499999999999999</v>
      </c>
      <c r="P100" s="177">
        <f>O100*H100</f>
        <v>33.403999999999996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28" t="s">
        <v>197</v>
      </c>
      <c r="AT100" s="128" t="s">
        <v>129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197</v>
      </c>
      <c r="BM100" s="128" t="s">
        <v>291</v>
      </c>
    </row>
    <row r="101" spans="2:65" s="26" customFormat="1" x14ac:dyDescent="0.25">
      <c r="B101" s="132"/>
      <c r="D101" s="179" t="s">
        <v>161</v>
      </c>
      <c r="E101" s="128" t="s">
        <v>9</v>
      </c>
      <c r="F101" s="143" t="s">
        <v>568</v>
      </c>
      <c r="H101" s="166">
        <v>190.88</v>
      </c>
      <c r="L101" s="132"/>
      <c r="M101" s="180"/>
      <c r="T101" s="181"/>
      <c r="AT101" s="128" t="s">
        <v>161</v>
      </c>
      <c r="AU101" s="128" t="s">
        <v>88</v>
      </c>
      <c r="AV101" s="26" t="s">
        <v>88</v>
      </c>
      <c r="AW101" s="26" t="s">
        <v>163</v>
      </c>
      <c r="AX101" s="26" t="s">
        <v>42</v>
      </c>
      <c r="AY101" s="128" t="s">
        <v>126</v>
      </c>
    </row>
    <row r="102" spans="2:65" s="26" customFormat="1" ht="22.5" customHeight="1" x14ac:dyDescent="0.25">
      <c r="B102" s="169"/>
      <c r="C102" s="170" t="s">
        <v>127</v>
      </c>
      <c r="D102" s="170" t="s">
        <v>129</v>
      </c>
      <c r="E102" s="171" t="s">
        <v>293</v>
      </c>
      <c r="F102" s="172" t="s">
        <v>294</v>
      </c>
      <c r="G102" s="173" t="s">
        <v>136</v>
      </c>
      <c r="H102" s="174">
        <f>859*1.02</f>
        <v>876.18000000000006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0.43458000000000002</v>
      </c>
      <c r="P102" s="177">
        <f>O102*H102</f>
        <v>380.77030440000004</v>
      </c>
      <c r="Q102" s="177">
        <v>9.8999999999999999E-4</v>
      </c>
      <c r="R102" s="177">
        <f>Q102*H102</f>
        <v>0.86741820000000003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295</v>
      </c>
    </row>
    <row r="103" spans="2:65" s="26" customFormat="1" ht="22.5" customHeight="1" x14ac:dyDescent="0.25">
      <c r="B103" s="169"/>
      <c r="C103" s="170" t="s">
        <v>424</v>
      </c>
      <c r="D103" s="170" t="s">
        <v>129</v>
      </c>
      <c r="E103" s="171" t="s">
        <v>296</v>
      </c>
      <c r="F103" s="172" t="s">
        <v>297</v>
      </c>
      <c r="G103" s="173" t="s">
        <v>136</v>
      </c>
      <c r="H103" s="174">
        <f>141*1.05</f>
        <v>148.05000000000001</v>
      </c>
      <c r="I103" s="174"/>
      <c r="J103" s="174">
        <f>ROUND(I103*H103,3)</f>
        <v>0</v>
      </c>
      <c r="K103" s="172" t="s">
        <v>9</v>
      </c>
      <c r="L103" s="132"/>
      <c r="M103" s="175" t="s">
        <v>9</v>
      </c>
      <c r="N103" s="176" t="s">
        <v>27</v>
      </c>
      <c r="O103" s="177">
        <v>0.435</v>
      </c>
      <c r="P103" s="177">
        <f>O103*H103</f>
        <v>64.401750000000007</v>
      </c>
      <c r="Q103" s="177">
        <v>9.8999999999999999E-4</v>
      </c>
      <c r="R103" s="177">
        <f>Q103*H103</f>
        <v>0.14656950000000002</v>
      </c>
      <c r="S103" s="177">
        <v>0</v>
      </c>
      <c r="T103" s="178">
        <f>S103*H103</f>
        <v>0</v>
      </c>
      <c r="AR103" s="128" t="s">
        <v>197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298</v>
      </c>
    </row>
    <row r="104" spans="2:65" s="26" customFormat="1" ht="16.5" customHeight="1" x14ac:dyDescent="0.25">
      <c r="B104" s="169"/>
      <c r="C104" s="187" t="s">
        <v>264</v>
      </c>
      <c r="D104" s="187" t="s">
        <v>261</v>
      </c>
      <c r="E104" s="188" t="s">
        <v>299</v>
      </c>
      <c r="F104" s="189" t="s">
        <v>300</v>
      </c>
      <c r="G104" s="190" t="s">
        <v>136</v>
      </c>
      <c r="H104" s="191">
        <f>H105</f>
        <v>1177.8644999999999</v>
      </c>
      <c r="I104" s="191"/>
      <c r="J104" s="191">
        <f>ROUND(I104*H104,3)</f>
        <v>0</v>
      </c>
      <c r="K104" s="189" t="s">
        <v>156</v>
      </c>
      <c r="L104" s="199"/>
      <c r="M104" s="200" t="s">
        <v>9</v>
      </c>
      <c r="N104" s="201" t="s">
        <v>27</v>
      </c>
      <c r="O104" s="177">
        <v>0</v>
      </c>
      <c r="P104" s="177">
        <f>O104*H104</f>
        <v>0</v>
      </c>
      <c r="Q104" s="177">
        <v>5.0000000000000001E-3</v>
      </c>
      <c r="R104" s="177">
        <f>Q104*H104</f>
        <v>5.8893224999999996</v>
      </c>
      <c r="S104" s="177">
        <v>0</v>
      </c>
      <c r="T104" s="178">
        <f>S104*H104</f>
        <v>0</v>
      </c>
      <c r="AR104" s="128" t="s">
        <v>286</v>
      </c>
      <c r="AT104" s="128" t="s">
        <v>261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197</v>
      </c>
      <c r="BM104" s="128" t="s">
        <v>301</v>
      </c>
    </row>
    <row r="105" spans="2:65" s="26" customFormat="1" x14ac:dyDescent="0.25">
      <c r="B105" s="132"/>
      <c r="D105" s="179" t="s">
        <v>161</v>
      </c>
      <c r="F105" s="143" t="s">
        <v>569</v>
      </c>
      <c r="H105" s="166">
        <f>(H102+H103)*1.15</f>
        <v>1177.8644999999999</v>
      </c>
      <c r="L105" s="132"/>
      <c r="M105" s="180"/>
      <c r="T105" s="181"/>
      <c r="AT105" s="128" t="s">
        <v>161</v>
      </c>
      <c r="AU105" s="128" t="s">
        <v>88</v>
      </c>
      <c r="AV105" s="26" t="s">
        <v>88</v>
      </c>
      <c r="AW105" s="26" t="s">
        <v>1</v>
      </c>
      <c r="AX105" s="26" t="s">
        <v>42</v>
      </c>
      <c r="AY105" s="128" t="s">
        <v>126</v>
      </c>
    </row>
    <row r="106" spans="2:65" s="26" customFormat="1" ht="16.5" customHeight="1" x14ac:dyDescent="0.25">
      <c r="B106" s="169"/>
      <c r="C106" s="187" t="s">
        <v>138</v>
      </c>
      <c r="D106" s="187" t="s">
        <v>261</v>
      </c>
      <c r="E106" s="188" t="s">
        <v>303</v>
      </c>
      <c r="F106" s="189" t="s">
        <v>304</v>
      </c>
      <c r="G106" s="190" t="s">
        <v>136</v>
      </c>
      <c r="H106" s="191">
        <f>H104</f>
        <v>1177.8644999999999</v>
      </c>
      <c r="I106" s="191"/>
      <c r="J106" s="191">
        <f>ROUND(I106*H106,3)</f>
        <v>0</v>
      </c>
      <c r="K106" s="189" t="s">
        <v>9</v>
      </c>
      <c r="L106" s="199"/>
      <c r="M106" s="200" t="s">
        <v>9</v>
      </c>
      <c r="N106" s="201" t="s">
        <v>27</v>
      </c>
      <c r="O106" s="177">
        <v>0</v>
      </c>
      <c r="P106" s="177">
        <f>O106*H106</f>
        <v>0</v>
      </c>
      <c r="Q106" s="177">
        <v>5.0000000000000001E-3</v>
      </c>
      <c r="R106" s="177">
        <f>Q106*H106</f>
        <v>5.8893224999999996</v>
      </c>
      <c r="S106" s="177">
        <v>0</v>
      </c>
      <c r="T106" s="178">
        <f>S106*H106</f>
        <v>0</v>
      </c>
      <c r="AR106" s="128" t="s">
        <v>286</v>
      </c>
      <c r="AT106" s="128" t="s">
        <v>261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197</v>
      </c>
      <c r="BM106" s="128" t="s">
        <v>305</v>
      </c>
    </row>
    <row r="107" spans="2:65" s="26" customFormat="1" ht="16.5" customHeight="1" x14ac:dyDescent="0.25">
      <c r="B107" s="169"/>
      <c r="C107" s="170" t="s">
        <v>427</v>
      </c>
      <c r="D107" s="170" t="s">
        <v>129</v>
      </c>
      <c r="E107" s="171" t="s">
        <v>306</v>
      </c>
      <c r="F107" s="172" t="s">
        <v>307</v>
      </c>
      <c r="G107" s="173" t="s">
        <v>234</v>
      </c>
      <c r="H107" s="174">
        <f>H117</f>
        <v>145.20000000000002</v>
      </c>
      <c r="I107" s="174"/>
      <c r="J107" s="174">
        <f>ROUND(I107*H107,3)</f>
        <v>0</v>
      </c>
      <c r="K107" s="172" t="s">
        <v>9</v>
      </c>
      <c r="L107" s="132"/>
      <c r="M107" s="175" t="s">
        <v>9</v>
      </c>
      <c r="N107" s="176" t="s">
        <v>27</v>
      </c>
      <c r="O107" s="177">
        <v>0</v>
      </c>
      <c r="P107" s="177">
        <f>O107*H107</f>
        <v>0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308</v>
      </c>
    </row>
    <row r="108" spans="2:65" s="26" customFormat="1" ht="16.5" customHeight="1" x14ac:dyDescent="0.25">
      <c r="B108" s="169"/>
      <c r="C108" s="170" t="s">
        <v>428</v>
      </c>
      <c r="D108" s="170" t="s">
        <v>129</v>
      </c>
      <c r="E108" s="171" t="s">
        <v>316</v>
      </c>
      <c r="F108" s="172" t="s">
        <v>317</v>
      </c>
      <c r="G108" s="173" t="s">
        <v>205</v>
      </c>
      <c r="H108" s="174">
        <v>3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0.24274000000000001</v>
      </c>
      <c r="P108" s="177">
        <f>O108*H108</f>
        <v>0.72822000000000009</v>
      </c>
      <c r="Q108" s="177">
        <v>2.7599999999999999E-3</v>
      </c>
      <c r="R108" s="177">
        <f>Q108*H108</f>
        <v>8.2799999999999992E-3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318</v>
      </c>
    </row>
    <row r="109" spans="2:65" s="26" customFormat="1" ht="16.5" customHeight="1" x14ac:dyDescent="0.25">
      <c r="B109" s="169"/>
      <c r="C109" s="187" t="s">
        <v>429</v>
      </c>
      <c r="D109" s="187" t="s">
        <v>261</v>
      </c>
      <c r="E109" s="188" t="s">
        <v>319</v>
      </c>
      <c r="F109" s="189" t="s">
        <v>320</v>
      </c>
      <c r="G109" s="190" t="s">
        <v>205</v>
      </c>
      <c r="H109" s="191">
        <v>3</v>
      </c>
      <c r="I109" s="191"/>
      <c r="J109" s="191">
        <f>ROUND(I109*H109,3)</f>
        <v>0</v>
      </c>
      <c r="K109" s="189" t="s">
        <v>9</v>
      </c>
      <c r="L109" s="199"/>
      <c r="M109" s="200" t="s">
        <v>9</v>
      </c>
      <c r="N109" s="201" t="s">
        <v>27</v>
      </c>
      <c r="O109" s="177">
        <v>0</v>
      </c>
      <c r="P109" s="177">
        <f>O109*H109</f>
        <v>0</v>
      </c>
      <c r="Q109" s="177">
        <v>8.4999999999999995E-4</v>
      </c>
      <c r="R109" s="177">
        <f>Q109*H109</f>
        <v>2.5499999999999997E-3</v>
      </c>
      <c r="S109" s="177">
        <v>0</v>
      </c>
      <c r="T109" s="178">
        <f>S109*H109</f>
        <v>0</v>
      </c>
      <c r="AR109" s="128" t="s">
        <v>286</v>
      </c>
      <c r="AT109" s="128" t="s">
        <v>261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321</v>
      </c>
    </row>
    <row r="110" spans="2:65" s="26" customFormat="1" ht="16.5" customHeight="1" x14ac:dyDescent="0.25">
      <c r="B110" s="169"/>
      <c r="C110" s="170" t="s">
        <v>431</v>
      </c>
      <c r="D110" s="170" t="s">
        <v>129</v>
      </c>
      <c r="E110" s="171" t="s">
        <v>322</v>
      </c>
      <c r="F110" s="172" t="s">
        <v>323</v>
      </c>
      <c r="G110" s="173" t="s">
        <v>324</v>
      </c>
      <c r="H110" s="174">
        <f>SUM(J97:J109)/100*1.3</f>
        <v>0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0</v>
      </c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197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197</v>
      </c>
      <c r="BM110" s="128" t="s">
        <v>325</v>
      </c>
    </row>
    <row r="111" spans="2:65" s="158" customFormat="1" ht="22.9" customHeight="1" x14ac:dyDescent="0.2">
      <c r="B111" s="157"/>
      <c r="D111" s="159" t="s">
        <v>123</v>
      </c>
      <c r="E111" s="167" t="s">
        <v>326</v>
      </c>
      <c r="F111" s="167" t="s">
        <v>327</v>
      </c>
      <c r="J111" s="168">
        <f>SUM(J112:J114)</f>
        <v>0</v>
      </c>
      <c r="L111" s="157"/>
      <c r="M111" s="162"/>
      <c r="P111" s="163">
        <f>SUM(P112:P114)</f>
        <v>139.499976</v>
      </c>
      <c r="R111" s="163">
        <f>SUM(R112:R114)</f>
        <v>2.1188062087499997</v>
      </c>
      <c r="T111" s="164">
        <f>SUM(T112:T114)</f>
        <v>0</v>
      </c>
      <c r="AR111" s="159" t="s">
        <v>88</v>
      </c>
      <c r="AT111" s="165" t="s">
        <v>123</v>
      </c>
      <c r="AU111" s="165" t="s">
        <v>42</v>
      </c>
      <c r="AY111" s="159" t="s">
        <v>126</v>
      </c>
      <c r="BK111" s="166">
        <f>SUM(BK112:BK114)</f>
        <v>0</v>
      </c>
    </row>
    <row r="112" spans="2:65" s="26" customFormat="1" ht="16.5" customHeight="1" x14ac:dyDescent="0.25">
      <c r="B112" s="169"/>
      <c r="C112" s="170" t="s">
        <v>432</v>
      </c>
      <c r="D112" s="170" t="s">
        <v>129</v>
      </c>
      <c r="E112" s="171" t="s">
        <v>328</v>
      </c>
      <c r="F112" s="172" t="s">
        <v>329</v>
      </c>
      <c r="G112" s="173" t="s">
        <v>136</v>
      </c>
      <c r="H112" s="174">
        <f>286.33*1.05</f>
        <v>300.6465</v>
      </c>
      <c r="I112" s="174"/>
      <c r="J112" s="174">
        <f>ROUND(I112*H112,3)</f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0.46400000000000002</v>
      </c>
      <c r="P112" s="177">
        <f>O112*H112</f>
        <v>139.499976</v>
      </c>
      <c r="Q112" s="177">
        <v>4.0000000000000001E-3</v>
      </c>
      <c r="R112" s="177">
        <f>Q112*H112</f>
        <v>1.2025859999999999</v>
      </c>
      <c r="S112" s="177">
        <v>0</v>
      </c>
      <c r="T112" s="178">
        <f>S112*H112</f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197</v>
      </c>
      <c r="BM112" s="128" t="s">
        <v>330</v>
      </c>
    </row>
    <row r="113" spans="2:65" s="26" customFormat="1" ht="16.5" customHeight="1" x14ac:dyDescent="0.25">
      <c r="B113" s="169"/>
      <c r="C113" s="187" t="s">
        <v>433</v>
      </c>
      <c r="D113" s="187" t="s">
        <v>261</v>
      </c>
      <c r="E113" s="188" t="s">
        <v>331</v>
      </c>
      <c r="F113" s="189" t="s">
        <v>332</v>
      </c>
      <c r="G113" s="190" t="s">
        <v>136</v>
      </c>
      <c r="H113" s="191">
        <f>H112*1.15</f>
        <v>345.74347499999999</v>
      </c>
      <c r="I113" s="191"/>
      <c r="J113" s="191">
        <f>ROUND(I113*H113,3)</f>
        <v>0</v>
      </c>
      <c r="K113" s="189" t="s">
        <v>156</v>
      </c>
      <c r="L113" s="199"/>
      <c r="M113" s="200" t="s">
        <v>9</v>
      </c>
      <c r="N113" s="201" t="s">
        <v>27</v>
      </c>
      <c r="O113" s="177">
        <v>0</v>
      </c>
      <c r="P113" s="177">
        <f>O113*H113</f>
        <v>0</v>
      </c>
      <c r="Q113" s="177">
        <v>2.65E-3</v>
      </c>
      <c r="R113" s="177">
        <f>Q113*H113</f>
        <v>0.91622020874999999</v>
      </c>
      <c r="S113" s="177">
        <v>0</v>
      </c>
      <c r="T113" s="178">
        <f>S113*H113</f>
        <v>0</v>
      </c>
      <c r="AR113" s="128" t="s">
        <v>286</v>
      </c>
      <c r="AT113" s="128" t="s">
        <v>261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197</v>
      </c>
      <c r="BM113" s="128" t="s">
        <v>333</v>
      </c>
    </row>
    <row r="114" spans="2:65" s="26" customFormat="1" ht="16.5" customHeight="1" x14ac:dyDescent="0.25">
      <c r="B114" s="169"/>
      <c r="C114" s="170" t="s">
        <v>197</v>
      </c>
      <c r="D114" s="170" t="s">
        <v>129</v>
      </c>
      <c r="E114" s="171" t="s">
        <v>338</v>
      </c>
      <c r="F114" s="172" t="s">
        <v>339</v>
      </c>
      <c r="G114" s="173" t="s">
        <v>324</v>
      </c>
      <c r="H114" s="174">
        <f>SUM(J112:J113)/100*1.3</f>
        <v>0</v>
      </c>
      <c r="I114" s="174"/>
      <c r="J114" s="174">
        <f>ROUND(I114*H114,3)</f>
        <v>0</v>
      </c>
      <c r="K114" s="172" t="s">
        <v>156</v>
      </c>
      <c r="L114" s="132"/>
      <c r="M114" s="175" t="s">
        <v>9</v>
      </c>
      <c r="N114" s="176" t="s">
        <v>27</v>
      </c>
      <c r="O114" s="177">
        <v>0</v>
      </c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28" t="s">
        <v>197</v>
      </c>
      <c r="AT114" s="128" t="s">
        <v>129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197</v>
      </c>
      <c r="BM114" s="128" t="s">
        <v>340</v>
      </c>
    </row>
    <row r="115" spans="2:65" s="158" customFormat="1" ht="22.9" customHeight="1" x14ac:dyDescent="0.2">
      <c r="B115" s="157"/>
      <c r="D115" s="159" t="s">
        <v>123</v>
      </c>
      <c r="E115" s="167" t="s">
        <v>223</v>
      </c>
      <c r="F115" s="167" t="s">
        <v>224</v>
      </c>
      <c r="J115" s="168">
        <f>SUM(J116:J119)</f>
        <v>0</v>
      </c>
      <c r="L115" s="157"/>
      <c r="M115" s="162"/>
      <c r="P115" s="163">
        <f>SUM(P116:P119)</f>
        <v>201.88920000000002</v>
      </c>
      <c r="R115" s="163">
        <f>SUM(R116:R119)</f>
        <v>0.94412400000000007</v>
      </c>
      <c r="T115" s="164">
        <f>SUM(T116:T119)</f>
        <v>0</v>
      </c>
      <c r="AR115" s="159" t="s">
        <v>88</v>
      </c>
      <c r="AT115" s="165" t="s">
        <v>123</v>
      </c>
      <c r="AU115" s="165" t="s">
        <v>42</v>
      </c>
      <c r="AY115" s="159" t="s">
        <v>126</v>
      </c>
      <c r="BK115" s="166">
        <f>SUM(BK116:BK119)</f>
        <v>0</v>
      </c>
    </row>
    <row r="116" spans="2:65" s="26" customFormat="1" ht="16.5" customHeight="1" x14ac:dyDescent="0.25">
      <c r="B116" s="169"/>
      <c r="C116" s="170" t="s">
        <v>434</v>
      </c>
      <c r="D116" s="170" t="s">
        <v>129</v>
      </c>
      <c r="E116" s="171" t="s">
        <v>344</v>
      </c>
      <c r="F116" s="172" t="s">
        <v>345</v>
      </c>
      <c r="G116" s="173" t="s">
        <v>205</v>
      </c>
      <c r="H116" s="174">
        <v>24</v>
      </c>
      <c r="I116" s="174"/>
      <c r="J116" s="174">
        <f>ROUND(I116*H116,3)</f>
        <v>0</v>
      </c>
      <c r="K116" s="172" t="s">
        <v>9</v>
      </c>
      <c r="L116" s="132"/>
      <c r="M116" s="175" t="s">
        <v>9</v>
      </c>
      <c r="N116" s="176" t="s">
        <v>27</v>
      </c>
      <c r="O116" s="177">
        <v>1.3879999999999999</v>
      </c>
      <c r="P116" s="177">
        <f>O116*H116</f>
        <v>33.311999999999998</v>
      </c>
      <c r="Q116" s="177">
        <v>8.0000000000000004E-4</v>
      </c>
      <c r="R116" s="177">
        <f>Q116*H116</f>
        <v>1.9200000000000002E-2</v>
      </c>
      <c r="S116" s="177">
        <v>0</v>
      </c>
      <c r="T116" s="178">
        <f>S116*H116</f>
        <v>0</v>
      </c>
      <c r="AR116" s="128" t="s">
        <v>197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197</v>
      </c>
      <c r="BM116" s="128" t="s">
        <v>346</v>
      </c>
    </row>
    <row r="117" spans="2:65" s="26" customFormat="1" ht="16.5" customHeight="1" x14ac:dyDescent="0.25">
      <c r="B117" s="169"/>
      <c r="C117" s="170" t="s">
        <v>435</v>
      </c>
      <c r="D117" s="170" t="s">
        <v>129</v>
      </c>
      <c r="E117" s="171" t="s">
        <v>356</v>
      </c>
      <c r="F117" s="172" t="s">
        <v>357</v>
      </c>
      <c r="G117" s="173" t="s">
        <v>230</v>
      </c>
      <c r="H117" s="174">
        <f>132*1.1</f>
        <v>145.20000000000002</v>
      </c>
      <c r="I117" s="174"/>
      <c r="J117" s="174">
        <f>ROUND(I117*H117,3)</f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1.161</v>
      </c>
      <c r="P117" s="177">
        <f>O117*H117</f>
        <v>168.57720000000003</v>
      </c>
      <c r="Q117" s="177">
        <v>6.3699999999999998E-3</v>
      </c>
      <c r="R117" s="177">
        <f>Q117*H117</f>
        <v>0.92492400000000008</v>
      </c>
      <c r="S117" s="177">
        <v>0</v>
      </c>
      <c r="T117" s="178">
        <f>S117*H117</f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197</v>
      </c>
      <c r="BM117" s="128" t="s">
        <v>358</v>
      </c>
    </row>
    <row r="118" spans="2:65" s="26" customFormat="1" x14ac:dyDescent="0.25">
      <c r="B118" s="132"/>
      <c r="D118" s="179" t="s">
        <v>161</v>
      </c>
      <c r="E118" s="128" t="s">
        <v>9</v>
      </c>
      <c r="F118" s="143" t="s">
        <v>481</v>
      </c>
      <c r="H118" s="166"/>
      <c r="L118" s="132"/>
      <c r="M118" s="180"/>
      <c r="T118" s="181"/>
      <c r="AT118" s="128" t="s">
        <v>161</v>
      </c>
      <c r="AU118" s="128" t="s">
        <v>88</v>
      </c>
      <c r="AV118" s="26" t="s">
        <v>88</v>
      </c>
      <c r="AW118" s="26" t="s">
        <v>163</v>
      </c>
      <c r="AX118" s="26" t="s">
        <v>42</v>
      </c>
      <c r="AY118" s="128" t="s">
        <v>126</v>
      </c>
    </row>
    <row r="119" spans="2:65" s="26" customFormat="1" ht="16.5" customHeight="1" x14ac:dyDescent="0.25">
      <c r="B119" s="169"/>
      <c r="C119" s="170" t="s">
        <v>436</v>
      </c>
      <c r="D119" s="170" t="s">
        <v>129</v>
      </c>
      <c r="E119" s="171" t="s">
        <v>368</v>
      </c>
      <c r="F119" s="172" t="s">
        <v>369</v>
      </c>
      <c r="G119" s="173" t="s">
        <v>324</v>
      </c>
      <c r="H119" s="174">
        <f>SUM(J116:J117)/100</f>
        <v>0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</v>
      </c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370</v>
      </c>
    </row>
    <row r="120" spans="2:65" s="158" customFormat="1" ht="22.9" customHeight="1" x14ac:dyDescent="0.2">
      <c r="B120" s="157"/>
      <c r="D120" s="159"/>
      <c r="E120" s="167" t="s">
        <v>377</v>
      </c>
      <c r="F120" s="167" t="s">
        <v>378</v>
      </c>
      <c r="J120" s="168">
        <f>SUM(J121:J123)</f>
        <v>0</v>
      </c>
      <c r="L120" s="157"/>
      <c r="M120" s="162"/>
      <c r="P120" s="163"/>
      <c r="R120" s="163"/>
      <c r="T120" s="164"/>
      <c r="AR120" s="159"/>
      <c r="AT120" s="165"/>
      <c r="AU120" s="165"/>
      <c r="AY120" s="159"/>
      <c r="BK120" s="166"/>
    </row>
    <row r="121" spans="2:65" s="26" customFormat="1" ht="16.5" customHeight="1" x14ac:dyDescent="0.25">
      <c r="B121" s="169"/>
      <c r="C121" s="170">
        <v>20</v>
      </c>
      <c r="D121" s="170" t="s">
        <v>129</v>
      </c>
      <c r="E121" s="171" t="s">
        <v>379</v>
      </c>
      <c r="F121" s="172" t="s">
        <v>380</v>
      </c>
      <c r="G121" s="173" t="s">
        <v>136</v>
      </c>
      <c r="H121" s="174">
        <v>8</v>
      </c>
      <c r="I121" s="174"/>
      <c r="J121" s="174">
        <f>ROUND(I121*H121,3)</f>
        <v>0</v>
      </c>
      <c r="K121" s="172" t="s">
        <v>156</v>
      </c>
      <c r="L121" s="132"/>
      <c r="M121" s="175" t="s">
        <v>9</v>
      </c>
      <c r="N121" s="176" t="s">
        <v>27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376</v>
      </c>
    </row>
    <row r="122" spans="2:65" s="26" customFormat="1" ht="16.5" customHeight="1" x14ac:dyDescent="0.25">
      <c r="B122" s="169"/>
      <c r="C122" s="170"/>
      <c r="D122" s="170"/>
      <c r="E122" s="171"/>
      <c r="F122" s="172" t="s">
        <v>454</v>
      </c>
      <c r="G122" s="173"/>
      <c r="H122" s="174"/>
      <c r="I122" s="174"/>
      <c r="J122" s="174"/>
      <c r="K122" s="172"/>
      <c r="L122" s="132"/>
      <c r="M122" s="175"/>
      <c r="N122" s="176"/>
      <c r="O122" s="177"/>
      <c r="P122" s="177"/>
      <c r="Q122" s="177"/>
      <c r="R122" s="177"/>
      <c r="S122" s="177"/>
      <c r="T122" s="178"/>
      <c r="AR122" s="128"/>
      <c r="AT122" s="128"/>
      <c r="AU122" s="128"/>
      <c r="AY122" s="128"/>
      <c r="BE122" s="138"/>
      <c r="BF122" s="138"/>
      <c r="BG122" s="138"/>
      <c r="BH122" s="138"/>
      <c r="BI122" s="138"/>
      <c r="BJ122" s="128"/>
      <c r="BK122" s="166"/>
      <c r="BL122" s="128"/>
      <c r="BM122" s="128"/>
    </row>
    <row r="123" spans="2:65" s="26" customFormat="1" ht="16.5" customHeight="1" x14ac:dyDescent="0.25">
      <c r="B123" s="169"/>
      <c r="C123" s="170">
        <v>21</v>
      </c>
      <c r="D123" s="170"/>
      <c r="E123" s="171" t="s">
        <v>381</v>
      </c>
      <c r="F123" s="172" t="s">
        <v>382</v>
      </c>
      <c r="G123" s="173" t="s">
        <v>136</v>
      </c>
      <c r="H123" s="174">
        <f>H121</f>
        <v>8</v>
      </c>
      <c r="I123" s="174"/>
      <c r="J123" s="174">
        <f>ROUND(I123*H123,3)</f>
        <v>0</v>
      </c>
      <c r="K123" s="172"/>
      <c r="L123" s="132"/>
      <c r="M123" s="175"/>
      <c r="N123" s="176"/>
      <c r="O123" s="177"/>
      <c r="P123" s="177"/>
      <c r="Q123" s="177"/>
      <c r="R123" s="177"/>
      <c r="S123" s="177"/>
      <c r="T123" s="178"/>
      <c r="AR123" s="128"/>
      <c r="AT123" s="128"/>
      <c r="AU123" s="128"/>
      <c r="AY123" s="128"/>
      <c r="BE123" s="138"/>
      <c r="BF123" s="138"/>
      <c r="BG123" s="138"/>
      <c r="BH123" s="138"/>
      <c r="BI123" s="138"/>
      <c r="BJ123" s="128"/>
      <c r="BK123" s="166"/>
      <c r="BL123" s="128"/>
      <c r="BM123" s="128"/>
    </row>
    <row r="124" spans="2:65" s="158" customFormat="1" ht="25.9" customHeight="1" x14ac:dyDescent="0.2">
      <c r="B124" s="157"/>
      <c r="D124" s="159" t="s">
        <v>123</v>
      </c>
      <c r="E124" s="160" t="s">
        <v>261</v>
      </c>
      <c r="F124" s="160" t="s">
        <v>383</v>
      </c>
      <c r="J124" s="161">
        <f>J125</f>
        <v>0</v>
      </c>
      <c r="L124" s="157"/>
      <c r="M124" s="162"/>
      <c r="P124" s="163">
        <f>P125</f>
        <v>0.15</v>
      </c>
      <c r="R124" s="163">
        <f>R125</f>
        <v>0</v>
      </c>
      <c r="T124" s="164">
        <f>T125</f>
        <v>0</v>
      </c>
      <c r="AR124" s="159" t="s">
        <v>140</v>
      </c>
      <c r="AT124" s="165" t="s">
        <v>123</v>
      </c>
      <c r="AU124" s="165" t="s">
        <v>39</v>
      </c>
      <c r="AY124" s="159" t="s">
        <v>126</v>
      </c>
      <c r="BK124" s="166">
        <f>BK125</f>
        <v>0</v>
      </c>
    </row>
    <row r="125" spans="2:65" s="158" customFormat="1" ht="22.9" customHeight="1" x14ac:dyDescent="0.2">
      <c r="B125" s="157"/>
      <c r="D125" s="159" t="s">
        <v>123</v>
      </c>
      <c r="E125" s="167" t="s">
        <v>384</v>
      </c>
      <c r="F125" s="167" t="s">
        <v>385</v>
      </c>
      <c r="J125" s="168">
        <f>SUM(J126)</f>
        <v>0</v>
      </c>
      <c r="L125" s="157"/>
      <c r="M125" s="162"/>
      <c r="P125" s="163">
        <f>P126</f>
        <v>0.15</v>
      </c>
      <c r="R125" s="163">
        <f>R126</f>
        <v>0</v>
      </c>
      <c r="T125" s="164">
        <f>T126</f>
        <v>0</v>
      </c>
      <c r="AR125" s="159" t="s">
        <v>140</v>
      </c>
      <c r="AT125" s="165" t="s">
        <v>123</v>
      </c>
      <c r="AU125" s="165" t="s">
        <v>42</v>
      </c>
      <c r="AY125" s="159" t="s">
        <v>126</v>
      </c>
      <c r="BK125" s="166">
        <f>BK126</f>
        <v>0</v>
      </c>
    </row>
    <row r="126" spans="2:65" s="26" customFormat="1" ht="16.5" customHeight="1" x14ac:dyDescent="0.25">
      <c r="B126" s="169"/>
      <c r="C126" s="170">
        <v>22</v>
      </c>
      <c r="D126" s="170" t="s">
        <v>129</v>
      </c>
      <c r="E126" s="171" t="s">
        <v>386</v>
      </c>
      <c r="F126" s="172" t="s">
        <v>387</v>
      </c>
      <c r="G126" s="173" t="s">
        <v>153</v>
      </c>
      <c r="H126" s="174">
        <v>1</v>
      </c>
      <c r="I126" s="174"/>
      <c r="J126" s="174">
        <f>ROUND(I126*H126,3)</f>
        <v>0</v>
      </c>
      <c r="K126" s="172" t="s">
        <v>9</v>
      </c>
      <c r="L126" s="132"/>
      <c r="M126" s="183" t="s">
        <v>9</v>
      </c>
      <c r="N126" s="184" t="s">
        <v>27</v>
      </c>
      <c r="O126" s="185">
        <v>0.15</v>
      </c>
      <c r="P126" s="185">
        <f>O126*H126</f>
        <v>0.15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AR126" s="128" t="s">
        <v>388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388</v>
      </c>
      <c r="BM126" s="128" t="s">
        <v>389</v>
      </c>
    </row>
    <row r="127" spans="2:65" s="26" customFormat="1" ht="16.5" customHeight="1" x14ac:dyDescent="0.25">
      <c r="B127" s="169"/>
      <c r="C127" s="194"/>
      <c r="D127" s="194"/>
      <c r="E127" s="195"/>
      <c r="F127" s="196"/>
      <c r="G127" s="197"/>
      <c r="H127" s="198"/>
      <c r="I127" s="198"/>
      <c r="J127" s="198"/>
      <c r="K127" s="196"/>
      <c r="L127" s="132"/>
      <c r="M127" s="128"/>
      <c r="N127" s="176"/>
      <c r="O127" s="177"/>
      <c r="P127" s="177"/>
      <c r="Q127" s="177"/>
      <c r="R127" s="177"/>
      <c r="S127" s="177"/>
      <c r="T127" s="177"/>
      <c r="AR127" s="128"/>
      <c r="AT127" s="128"/>
      <c r="AU127" s="128"/>
      <c r="AY127" s="128"/>
      <c r="BE127" s="138"/>
      <c r="BF127" s="138"/>
      <c r="BG127" s="138"/>
      <c r="BH127" s="138"/>
      <c r="BI127" s="138"/>
      <c r="BJ127" s="128"/>
      <c r="BK127" s="166"/>
      <c r="BL127" s="128"/>
      <c r="BM127" s="128"/>
    </row>
    <row r="128" spans="2:65" s="158" customFormat="1" ht="25.9" customHeight="1" x14ac:dyDescent="0.2">
      <c r="B128" s="157"/>
      <c r="D128" s="159"/>
      <c r="E128" s="160"/>
      <c r="F128" s="160" t="s">
        <v>390</v>
      </c>
      <c r="J128" s="161">
        <f>J129</f>
        <v>0</v>
      </c>
      <c r="L128" s="157"/>
      <c r="M128" s="162"/>
      <c r="P128" s="163">
        <f>P129</f>
        <v>0.66</v>
      </c>
      <c r="R128" s="163">
        <f>R129</f>
        <v>0</v>
      </c>
      <c r="T128" s="164">
        <f>T129</f>
        <v>0</v>
      </c>
      <c r="AR128" s="159" t="s">
        <v>140</v>
      </c>
      <c r="AT128" s="165" t="s">
        <v>123</v>
      </c>
      <c r="AU128" s="165" t="s">
        <v>39</v>
      </c>
      <c r="AY128" s="159" t="s">
        <v>126</v>
      </c>
      <c r="BK128" s="166">
        <f>BK129</f>
        <v>0</v>
      </c>
    </row>
    <row r="129" spans="2:65" s="158" customFormat="1" ht="22.9" customHeight="1" x14ac:dyDescent="0.2">
      <c r="B129" s="157"/>
      <c r="D129" s="159" t="s">
        <v>391</v>
      </c>
      <c r="E129" s="167">
        <v>0</v>
      </c>
      <c r="F129" s="167" t="s">
        <v>392</v>
      </c>
      <c r="J129" s="168">
        <f>SUM(J130:J133)</f>
        <v>0</v>
      </c>
      <c r="L129" s="157"/>
      <c r="M129" s="162"/>
      <c r="P129" s="163">
        <f>P130</f>
        <v>0.66</v>
      </c>
      <c r="R129" s="163">
        <f>R130</f>
        <v>0</v>
      </c>
      <c r="T129" s="164">
        <f>T130</f>
        <v>0</v>
      </c>
      <c r="AR129" s="159" t="s">
        <v>140</v>
      </c>
      <c r="AT129" s="165" t="s">
        <v>123</v>
      </c>
      <c r="AU129" s="165" t="s">
        <v>42</v>
      </c>
      <c r="AY129" s="159" t="s">
        <v>126</v>
      </c>
      <c r="BK129" s="166">
        <f>BK130</f>
        <v>0</v>
      </c>
    </row>
    <row r="130" spans="2:65" s="26" customFormat="1" ht="16.5" customHeight="1" x14ac:dyDescent="0.25">
      <c r="B130" s="169"/>
      <c r="C130" s="170">
        <v>23</v>
      </c>
      <c r="D130" s="170" t="s">
        <v>129</v>
      </c>
      <c r="E130" s="171" t="s">
        <v>393</v>
      </c>
      <c r="F130" s="172" t="s">
        <v>394</v>
      </c>
      <c r="G130" s="173" t="s">
        <v>324</v>
      </c>
      <c r="H130" s="174">
        <f>'[1]F montáž - skúška 1.1'!H146</f>
        <v>4.4000000000000004</v>
      </c>
      <c r="I130" s="174"/>
      <c r="J130" s="174">
        <f>ROUND(I130*H130,3)</f>
        <v>0</v>
      </c>
      <c r="K130" s="172" t="s">
        <v>9</v>
      </c>
      <c r="L130" s="132"/>
      <c r="M130" s="183" t="s">
        <v>9</v>
      </c>
      <c r="N130" s="184" t="s">
        <v>27</v>
      </c>
      <c r="O130" s="185">
        <v>0.15</v>
      </c>
      <c r="P130" s="185">
        <f>O130*H130</f>
        <v>0.66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AR130" s="128" t="s">
        <v>388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388</v>
      </c>
      <c r="BM130" s="128" t="s">
        <v>389</v>
      </c>
    </row>
    <row r="131" spans="2:65" s="26" customFormat="1" ht="16.5" customHeight="1" x14ac:dyDescent="0.25">
      <c r="B131" s="169"/>
      <c r="C131" s="170">
        <v>24</v>
      </c>
      <c r="D131" s="170" t="s">
        <v>129</v>
      </c>
      <c r="E131" s="171" t="s">
        <v>395</v>
      </c>
      <c r="F131" s="172" t="s">
        <v>396</v>
      </c>
      <c r="G131" s="173" t="s">
        <v>324</v>
      </c>
      <c r="H131" s="174">
        <f>'[1]F montáž - skúška 1.1'!H147</f>
        <v>1</v>
      </c>
      <c r="I131" s="174"/>
      <c r="J131" s="174">
        <f>ROUND(I131*H131,3)</f>
        <v>0</v>
      </c>
      <c r="K131" s="172" t="s">
        <v>9</v>
      </c>
      <c r="L131" s="132"/>
      <c r="M131" s="183" t="s">
        <v>9</v>
      </c>
      <c r="N131" s="184" t="s">
        <v>27</v>
      </c>
      <c r="O131" s="185">
        <v>0.15</v>
      </c>
      <c r="P131" s="185">
        <f>O131*H131</f>
        <v>0.15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128" t="s">
        <v>388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388</v>
      </c>
      <c r="BM131" s="128" t="s">
        <v>389</v>
      </c>
    </row>
    <row r="132" spans="2:65" s="26" customFormat="1" ht="16.5" customHeight="1" x14ac:dyDescent="0.25">
      <c r="B132" s="169"/>
      <c r="C132" s="170">
        <v>25</v>
      </c>
      <c r="D132" s="170" t="s">
        <v>129</v>
      </c>
      <c r="E132" s="171" t="s">
        <v>397</v>
      </c>
      <c r="F132" s="172" t="s">
        <v>398</v>
      </c>
      <c r="G132" s="173" t="s">
        <v>399</v>
      </c>
      <c r="H132" s="174">
        <f>H97*0.15</f>
        <v>153.6345</v>
      </c>
      <c r="I132" s="174"/>
      <c r="J132" s="174">
        <f>ROUND(I132*H132,3)</f>
        <v>0</v>
      </c>
      <c r="K132" s="172"/>
      <c r="L132" s="132"/>
      <c r="M132" s="183"/>
      <c r="N132" s="184"/>
      <c r="O132" s="185"/>
      <c r="P132" s="185"/>
      <c r="Q132" s="185"/>
      <c r="R132" s="185"/>
      <c r="S132" s="185"/>
      <c r="T132" s="186"/>
      <c r="AR132" s="128"/>
      <c r="AT132" s="128"/>
      <c r="AU132" s="128"/>
      <c r="AY132" s="128"/>
      <c r="BE132" s="138"/>
      <c r="BF132" s="138"/>
      <c r="BG132" s="138"/>
      <c r="BH132" s="138"/>
      <c r="BI132" s="138"/>
      <c r="BJ132" s="128"/>
      <c r="BK132" s="166"/>
      <c r="BL132" s="128"/>
      <c r="BM132" s="128"/>
    </row>
    <row r="133" spans="2:65" s="26" customFormat="1" ht="16.5" customHeight="1" x14ac:dyDescent="0.25">
      <c r="B133" s="169"/>
      <c r="C133" s="170">
        <v>26</v>
      </c>
      <c r="D133" s="170" t="s">
        <v>129</v>
      </c>
      <c r="E133" s="171" t="s">
        <v>397</v>
      </c>
      <c r="F133" s="172" t="s">
        <v>401</v>
      </c>
      <c r="G133" s="173" t="s">
        <v>324</v>
      </c>
      <c r="H133" s="174">
        <f>'[1]F montáž - skúška 1.1'!H149</f>
        <v>12.1</v>
      </c>
      <c r="I133" s="174"/>
      <c r="J133" s="174">
        <f>ROUND(I133*H133,3)</f>
        <v>0</v>
      </c>
      <c r="K133" s="172" t="s">
        <v>9</v>
      </c>
      <c r="L133" s="132"/>
      <c r="M133" s="183" t="s">
        <v>9</v>
      </c>
      <c r="N133" s="184" t="s">
        <v>27</v>
      </c>
      <c r="O133" s="185">
        <v>0.15</v>
      </c>
      <c r="P133" s="185">
        <f>O133*H133</f>
        <v>1.8149999999999999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AR133" s="128" t="s">
        <v>388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388</v>
      </c>
      <c r="BM133" s="128" t="s">
        <v>389</v>
      </c>
    </row>
    <row r="134" spans="2:65" s="26" customFormat="1" ht="16.5" customHeight="1" x14ac:dyDescent="0.25">
      <c r="B134" s="169"/>
      <c r="C134" s="194"/>
      <c r="D134" s="194"/>
      <c r="E134" s="195"/>
      <c r="F134" s="196"/>
      <c r="G134" s="197"/>
      <c r="H134" s="198"/>
      <c r="I134" s="198"/>
      <c r="J134" s="198"/>
      <c r="K134" s="196"/>
      <c r="L134" s="132"/>
      <c r="M134" s="128"/>
      <c r="N134" s="176"/>
      <c r="O134" s="177"/>
      <c r="P134" s="177"/>
      <c r="Q134" s="177"/>
      <c r="R134" s="177"/>
      <c r="S134" s="177"/>
      <c r="T134" s="177"/>
      <c r="AR134" s="128"/>
      <c r="AT134" s="128"/>
      <c r="AU134" s="128"/>
      <c r="AY134" s="128"/>
      <c r="BE134" s="138"/>
      <c r="BF134" s="138"/>
      <c r="BG134" s="138"/>
      <c r="BH134" s="138"/>
      <c r="BI134" s="138"/>
      <c r="BJ134" s="128"/>
      <c r="BK134" s="166"/>
      <c r="BL134" s="128"/>
      <c r="BM134" s="128"/>
    </row>
    <row r="135" spans="2:65" s="26" customFormat="1" ht="6.95" customHeight="1" x14ac:dyDescent="0.25">
      <c r="B135" s="141"/>
      <c r="C135" s="36"/>
      <c r="D135" s="36"/>
      <c r="E135" s="36"/>
      <c r="F135" s="36"/>
      <c r="G135" s="36"/>
      <c r="H135" s="36"/>
      <c r="I135" s="36"/>
      <c r="J135" s="36"/>
      <c r="K135" s="36"/>
      <c r="L135" s="132"/>
    </row>
  </sheetData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topLeftCell="A79" workbookViewId="0">
      <selection activeCell="I89" sqref="I89:I158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35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69</v>
      </c>
      <c r="AZ2" s="128" t="s">
        <v>570</v>
      </c>
      <c r="BA2" s="128" t="s">
        <v>571</v>
      </c>
      <c r="BB2" s="128" t="s">
        <v>9</v>
      </c>
      <c r="BC2" s="128" t="s">
        <v>572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85</v>
      </c>
      <c r="BA3" s="128" t="s">
        <v>86</v>
      </c>
      <c r="BB3" s="128" t="s">
        <v>9</v>
      </c>
      <c r="BC3" s="128" t="s">
        <v>573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/>
      <c r="AT4" s="128" t="s">
        <v>1</v>
      </c>
      <c r="AZ4" s="128" t="s">
        <v>89</v>
      </c>
      <c r="BA4" s="128" t="s">
        <v>90</v>
      </c>
      <c r="BB4" s="128" t="s">
        <v>9</v>
      </c>
      <c r="BC4" s="128" t="s">
        <v>574</v>
      </c>
      <c r="BD4" s="128" t="s">
        <v>88</v>
      </c>
    </row>
    <row r="5" spans="1:56" x14ac:dyDescent="0.2">
      <c r="B5" s="130"/>
      <c r="L5" s="130"/>
      <c r="AZ5" s="128" t="s">
        <v>90</v>
      </c>
      <c r="BA5" s="128" t="s">
        <v>94</v>
      </c>
      <c r="BB5" s="128" t="s">
        <v>9</v>
      </c>
      <c r="BC5" s="128" t="s">
        <v>575</v>
      </c>
      <c r="BD5" s="128" t="s">
        <v>88</v>
      </c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68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ROUND((SUM(BE86:BE156)),  2)</f>
        <v>0</v>
      </c>
      <c r="I33" s="139">
        <v>0.2</v>
      </c>
      <c r="J33" s="138">
        <f>ROUND(((SUM(BE86:BE156))*I33),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ROUND((SUM(BF86:BF156)),  2)</f>
        <v>0</v>
      </c>
      <c r="I34" s="139">
        <v>0.2</v>
      </c>
      <c r="J34" s="138">
        <f>ROUND(((SUM(BF86:BF156))*I34),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ROUND((SUM(BG86:BG156)),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ROUND((SUM(BH86:BH156)),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ROUND((SUM(BI86:BI156)),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I- demontáž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J130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J131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J150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J155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576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/>
      <c r="N85" s="90"/>
      <c r="O85" s="90"/>
      <c r="P85" s="90"/>
      <c r="Q85" s="90"/>
      <c r="R85" s="90"/>
      <c r="S85" s="90"/>
      <c r="T85" s="91"/>
    </row>
    <row r="86" spans="2:65" s="26" customFormat="1" ht="22.9" customHeight="1" x14ac:dyDescent="0.25">
      <c r="B86" s="132"/>
      <c r="C86" s="146" t="s">
        <v>100</v>
      </c>
      <c r="J86" s="152">
        <f>J87+J130</f>
        <v>0</v>
      </c>
      <c r="L86" s="132"/>
      <c r="M86" s="153"/>
      <c r="N86" s="134"/>
      <c r="O86" s="134"/>
      <c r="P86" s="154"/>
      <c r="Q86" s="134"/>
      <c r="R86" s="154"/>
      <c r="S86" s="134"/>
      <c r="T86" s="155"/>
      <c r="AT86" s="128" t="s">
        <v>123</v>
      </c>
      <c r="AU86" s="128" t="s">
        <v>101</v>
      </c>
      <c r="BK86" s="156">
        <f>BK87+BK130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/>
      <c r="R87" s="163"/>
      <c r="T87" s="164"/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/>
      <c r="R88" s="163"/>
      <c r="T88" s="164"/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1383.67*1.1*0.1*1.15</f>
        <v>175.03425500000003</v>
      </c>
      <c r="I89" s="174"/>
      <c r="J89" s="174">
        <f>ROUND(I89*H89,3)</f>
        <v>0</v>
      </c>
      <c r="K89" s="172" t="s">
        <v>9</v>
      </c>
      <c r="L89" s="132"/>
      <c r="M89" s="175"/>
      <c r="N89" s="176"/>
      <c r="O89" s="177"/>
      <c r="P89" s="177"/>
      <c r="Q89" s="177"/>
      <c r="R89" s="177"/>
      <c r="S89" s="177"/>
      <c r="T89" s="178"/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3861</v>
      </c>
      <c r="I90" s="174"/>
      <c r="J90" s="174">
        <f>ROUND(I90*H90,3)</f>
        <v>0</v>
      </c>
      <c r="K90" s="172" t="s">
        <v>9</v>
      </c>
      <c r="L90" s="132"/>
      <c r="M90" s="175"/>
      <c r="N90" s="176"/>
      <c r="O90" s="177"/>
      <c r="P90" s="177"/>
      <c r="Q90" s="177"/>
      <c r="R90" s="177"/>
      <c r="S90" s="177"/>
      <c r="T90" s="178"/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SUM(J92:J128)</f>
        <v>0</v>
      </c>
      <c r="L91" s="182"/>
      <c r="M91" s="162"/>
      <c r="P91" s="163"/>
      <c r="R91" s="163"/>
      <c r="T91" s="164"/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SUM(BK103:BK129)</f>
        <v>0</v>
      </c>
    </row>
    <row r="92" spans="2:65" s="26" customFormat="1" ht="16.5" customHeight="1" x14ac:dyDescent="0.25">
      <c r="B92" s="169"/>
      <c r="C92" s="170">
        <v>3</v>
      </c>
      <c r="D92" s="170"/>
      <c r="E92" s="171">
        <v>113107141</v>
      </c>
      <c r="F92" s="172" t="s">
        <v>577</v>
      </c>
      <c r="G92" s="173" t="s">
        <v>136</v>
      </c>
      <c r="H92" s="174">
        <v>2713</v>
      </c>
      <c r="I92" s="174"/>
      <c r="J92" s="174">
        <f>I92*H92</f>
        <v>0</v>
      </c>
      <c r="K92" s="172"/>
      <c r="L92" s="284"/>
      <c r="M92" s="175"/>
      <c r="N92" s="176"/>
      <c r="O92" s="177"/>
      <c r="P92" s="177"/>
      <c r="Q92" s="177"/>
      <c r="R92" s="177"/>
      <c r="S92" s="177"/>
      <c r="T92" s="178"/>
      <c r="V92" s="174"/>
      <c r="AR92" s="128"/>
      <c r="AT92" s="128"/>
      <c r="AU92" s="128"/>
      <c r="AY92" s="128"/>
      <c r="BE92" s="138"/>
      <c r="BF92" s="138"/>
      <c r="BG92" s="138"/>
      <c r="BH92" s="138"/>
      <c r="BI92" s="138"/>
      <c r="BJ92" s="128"/>
      <c r="BK92" s="166"/>
      <c r="BL92" s="128"/>
      <c r="BM92" s="128"/>
    </row>
    <row r="93" spans="2:65" s="26" customFormat="1" ht="16.5" customHeight="1" x14ac:dyDescent="0.25">
      <c r="B93" s="169"/>
      <c r="C93" s="170">
        <v>4</v>
      </c>
      <c r="D93" s="170" t="s">
        <v>129</v>
      </c>
      <c r="E93" s="171" t="s">
        <v>141</v>
      </c>
      <c r="F93" s="172" t="s">
        <v>142</v>
      </c>
      <c r="G93" s="173" t="s">
        <v>136</v>
      </c>
      <c r="H93" s="174">
        <v>311</v>
      </c>
      <c r="I93" s="174"/>
      <c r="J93" s="174">
        <f t="shared" ref="J93" si="0">ROUND(I93*H93,3)</f>
        <v>0</v>
      </c>
      <c r="K93" s="172" t="s">
        <v>9</v>
      </c>
      <c r="L93" s="284"/>
      <c r="M93" s="175"/>
      <c r="N93" s="176"/>
      <c r="O93" s="177"/>
      <c r="P93" s="177"/>
      <c r="Q93" s="177"/>
      <c r="R93" s="177"/>
      <c r="S93" s="177"/>
      <c r="T93" s="178"/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 t="shared" ref="BE93" si="1">IF(N93="základná",J93,0)</f>
        <v>0</v>
      </c>
      <c r="BF93" s="138">
        <f t="shared" ref="BF93" si="2">IF(N93="znížená",J93,0)</f>
        <v>0</v>
      </c>
      <c r="BG93" s="138">
        <f t="shared" ref="BG93" si="3">IF(N93="zákl. prenesená",J93,0)</f>
        <v>0</v>
      </c>
      <c r="BH93" s="138">
        <f t="shared" ref="BH93" si="4">IF(N93="zníž. prenesená",J93,0)</f>
        <v>0</v>
      </c>
      <c r="BI93" s="138">
        <f t="shared" ref="BI93" si="5">IF(N93="nulová",J93,0)</f>
        <v>0</v>
      </c>
      <c r="BJ93" s="128" t="s">
        <v>88</v>
      </c>
      <c r="BK93" s="166">
        <f t="shared" ref="BK93" si="6">ROUND(I93*H93,3)</f>
        <v>0</v>
      </c>
      <c r="BL93" s="128" t="s">
        <v>132</v>
      </c>
      <c r="BM93" s="128" t="s">
        <v>143</v>
      </c>
    </row>
    <row r="94" spans="2:65" s="26" customFormat="1" ht="16.5" customHeight="1" x14ac:dyDescent="0.25">
      <c r="B94" s="169"/>
      <c r="C94" s="170">
        <v>5</v>
      </c>
      <c r="D94" s="170" t="s">
        <v>129</v>
      </c>
      <c r="E94" s="171" t="s">
        <v>144</v>
      </c>
      <c r="F94" s="172" t="s">
        <v>145</v>
      </c>
      <c r="G94" s="173" t="s">
        <v>146</v>
      </c>
      <c r="H94" s="174">
        <f>H103+H112+H121+H98</f>
        <v>778.7518</v>
      </c>
      <c r="I94" s="174"/>
      <c r="J94" s="174">
        <f>ROUND(I94*H94,3)</f>
        <v>0</v>
      </c>
      <c r="K94" s="172" t="s">
        <v>9</v>
      </c>
      <c r="L94" s="284"/>
      <c r="M94" s="175"/>
      <c r="N94" s="176"/>
      <c r="O94" s="177"/>
      <c r="P94" s="177"/>
      <c r="Q94" s="177"/>
      <c r="R94" s="177"/>
      <c r="S94" s="177"/>
      <c r="T94" s="178"/>
      <c r="AR94" s="128" t="s">
        <v>132</v>
      </c>
      <c r="AT94" s="128" t="s">
        <v>129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147</v>
      </c>
    </row>
    <row r="95" spans="2:65" s="26" customFormat="1" ht="16.5" customHeight="1" x14ac:dyDescent="0.25">
      <c r="B95" s="169"/>
      <c r="C95" s="194">
        <v>6</v>
      </c>
      <c r="D95" s="194"/>
      <c r="E95" s="171" t="s">
        <v>148</v>
      </c>
      <c r="F95" s="172" t="s">
        <v>149</v>
      </c>
      <c r="G95" s="173" t="s">
        <v>146</v>
      </c>
      <c r="H95" s="198">
        <f>H94*10</f>
        <v>7787.518</v>
      </c>
      <c r="I95" s="174"/>
      <c r="J95" s="174">
        <f t="shared" ref="J95:J103" si="7">ROUND(I95*H95,3)</f>
        <v>0</v>
      </c>
      <c r="K95" s="196"/>
      <c r="L95" s="284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16.5" customHeight="1" x14ac:dyDescent="0.25">
      <c r="B96" s="169"/>
      <c r="C96" s="194"/>
      <c r="D96" s="194"/>
      <c r="E96" s="171"/>
      <c r="F96" s="172" t="s">
        <v>150</v>
      </c>
      <c r="G96" s="197"/>
      <c r="H96" s="198"/>
      <c r="I96" s="198"/>
      <c r="J96" s="174">
        <f t="shared" si="7"/>
        <v>0</v>
      </c>
      <c r="K96" s="196"/>
      <c r="L96" s="284"/>
      <c r="M96" s="175"/>
      <c r="N96" s="176"/>
      <c r="O96" s="177"/>
      <c r="P96" s="177"/>
      <c r="Q96" s="177"/>
      <c r="R96" s="177"/>
      <c r="S96" s="177"/>
      <c r="T96" s="178"/>
      <c r="AR96" s="128"/>
      <c r="AT96" s="128"/>
      <c r="AU96" s="128"/>
      <c r="AY96" s="128"/>
      <c r="BE96" s="138"/>
      <c r="BF96" s="138"/>
      <c r="BG96" s="138"/>
      <c r="BH96" s="138"/>
      <c r="BI96" s="138"/>
      <c r="BJ96" s="128"/>
      <c r="BK96" s="166"/>
      <c r="BL96" s="128"/>
      <c r="BM96" s="128"/>
    </row>
    <row r="97" spans="2:65" s="26" customFormat="1" ht="16.5" customHeight="1" x14ac:dyDescent="0.25">
      <c r="B97" s="169"/>
      <c r="C97" s="194">
        <v>7</v>
      </c>
      <c r="D97" s="194"/>
      <c r="E97" s="171" t="s">
        <v>151</v>
      </c>
      <c r="F97" s="172" t="s">
        <v>152</v>
      </c>
      <c r="G97" s="197" t="s">
        <v>153</v>
      </c>
      <c r="H97" s="198">
        <v>1</v>
      </c>
      <c r="I97" s="198"/>
      <c r="J97" s="174">
        <f t="shared" si="7"/>
        <v>0</v>
      </c>
      <c r="K97" s="196"/>
      <c r="L97" s="284"/>
      <c r="M97" s="175"/>
      <c r="N97" s="176"/>
      <c r="O97" s="177"/>
      <c r="P97" s="177"/>
      <c r="Q97" s="177"/>
      <c r="R97" s="177"/>
      <c r="S97" s="177"/>
      <c r="T97" s="178"/>
      <c r="AR97" s="128"/>
      <c r="AT97" s="128"/>
      <c r="AU97" s="128"/>
      <c r="AY97" s="128"/>
      <c r="BE97" s="138"/>
      <c r="BF97" s="138"/>
      <c r="BG97" s="138"/>
      <c r="BH97" s="138"/>
      <c r="BI97" s="138"/>
      <c r="BJ97" s="128"/>
      <c r="BK97" s="166"/>
      <c r="BL97" s="128"/>
      <c r="BM97" s="128"/>
    </row>
    <row r="98" spans="2:65" s="26" customFormat="1" ht="16.5" customHeight="1" x14ac:dyDescent="0.25">
      <c r="B98" s="169"/>
      <c r="C98" s="170">
        <v>8</v>
      </c>
      <c r="D98" s="170" t="s">
        <v>129</v>
      </c>
      <c r="E98" s="171" t="s">
        <v>154</v>
      </c>
      <c r="F98" s="172" t="s">
        <v>578</v>
      </c>
      <c r="G98" s="173" t="s">
        <v>146</v>
      </c>
      <c r="H98" s="174">
        <f>H92*0.098</f>
        <v>265.87400000000002</v>
      </c>
      <c r="I98" s="174"/>
      <c r="J98" s="174">
        <f t="shared" si="7"/>
        <v>0</v>
      </c>
      <c r="K98" s="172" t="s">
        <v>156</v>
      </c>
      <c r="L98" s="284"/>
      <c r="M98" s="175"/>
      <c r="N98" s="176"/>
      <c r="O98" s="177"/>
      <c r="P98" s="177"/>
      <c r="Q98" s="177"/>
      <c r="R98" s="177"/>
      <c r="S98" s="177"/>
      <c r="T98" s="178"/>
      <c r="AR98" s="128" t="s">
        <v>132</v>
      </c>
      <c r="AT98" s="128" t="s">
        <v>129</v>
      </c>
      <c r="AU98" s="128" t="s">
        <v>88</v>
      </c>
      <c r="AY98" s="128" t="s">
        <v>126</v>
      </c>
      <c r="BE98" s="138">
        <f t="shared" ref="BE98:BE102" si="8">IF(N98="základná",J98,0)</f>
        <v>0</v>
      </c>
      <c r="BF98" s="138">
        <f t="shared" ref="BF98:BF102" si="9">IF(N98="znížená",J98,0)</f>
        <v>0</v>
      </c>
      <c r="BG98" s="138">
        <f t="shared" ref="BG98:BG102" si="10">IF(N98="zákl. prenesená",J98,0)</f>
        <v>0</v>
      </c>
      <c r="BH98" s="138">
        <f t="shared" ref="BH98:BH102" si="11">IF(N98="zníž. prenesená",J98,0)</f>
        <v>0</v>
      </c>
      <c r="BI98" s="138">
        <f t="shared" ref="BI98:BI102" si="12">IF(N98="nulová",J98,0)</f>
        <v>0</v>
      </c>
      <c r="BJ98" s="128" t="s">
        <v>88</v>
      </c>
      <c r="BK98" s="166">
        <f t="shared" ref="BK98:BK102" si="13">ROUND(I98*H98,3)</f>
        <v>0</v>
      </c>
      <c r="BL98" s="128" t="s">
        <v>132</v>
      </c>
      <c r="BM98" s="128" t="s">
        <v>157</v>
      </c>
    </row>
    <row r="99" spans="2:65" s="26" customFormat="1" ht="16.5" customHeight="1" x14ac:dyDescent="0.25">
      <c r="B99" s="169"/>
      <c r="C99" s="170">
        <v>9</v>
      </c>
      <c r="D99" s="170" t="s">
        <v>129</v>
      </c>
      <c r="E99" s="171" t="s">
        <v>579</v>
      </c>
      <c r="F99" s="172" t="s">
        <v>580</v>
      </c>
      <c r="G99" s="173" t="s">
        <v>146</v>
      </c>
      <c r="H99" s="174">
        <f>H98</f>
        <v>265.87400000000002</v>
      </c>
      <c r="I99" s="174"/>
      <c r="J99" s="174">
        <f t="shared" si="7"/>
        <v>0</v>
      </c>
      <c r="K99" s="172" t="s">
        <v>9</v>
      </c>
      <c r="L99" s="284"/>
      <c r="M99" s="175"/>
      <c r="N99" s="176"/>
      <c r="O99" s="177"/>
      <c r="P99" s="177"/>
      <c r="Q99" s="177"/>
      <c r="R99" s="177"/>
      <c r="S99" s="177"/>
      <c r="T99" s="178"/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 t="shared" si="8"/>
        <v>0</v>
      </c>
      <c r="BF99" s="138">
        <f t="shared" si="9"/>
        <v>0</v>
      </c>
      <c r="BG99" s="138">
        <f t="shared" si="10"/>
        <v>0</v>
      </c>
      <c r="BH99" s="138">
        <f t="shared" si="11"/>
        <v>0</v>
      </c>
      <c r="BI99" s="138">
        <f t="shared" si="12"/>
        <v>0</v>
      </c>
      <c r="BJ99" s="128" t="s">
        <v>88</v>
      </c>
      <c r="BK99" s="166">
        <f t="shared" si="13"/>
        <v>0</v>
      </c>
      <c r="BL99" s="128" t="s">
        <v>132</v>
      </c>
      <c r="BM99" s="128" t="s">
        <v>160</v>
      </c>
    </row>
    <row r="100" spans="2:65" s="26" customFormat="1" ht="16.5" customHeight="1" x14ac:dyDescent="0.25">
      <c r="B100" s="169"/>
      <c r="C100" s="170">
        <v>10</v>
      </c>
      <c r="D100" s="170" t="s">
        <v>129</v>
      </c>
      <c r="E100" s="171" t="s">
        <v>164</v>
      </c>
      <c r="F100" s="172" t="s">
        <v>165</v>
      </c>
      <c r="G100" s="173" t="s">
        <v>146</v>
      </c>
      <c r="H100" s="174">
        <f>H99*2</f>
        <v>531.74800000000005</v>
      </c>
      <c r="I100" s="174"/>
      <c r="J100" s="174">
        <f t="shared" si="7"/>
        <v>0</v>
      </c>
      <c r="K100" s="172" t="s">
        <v>156</v>
      </c>
      <c r="L100" s="284"/>
      <c r="M100" s="175"/>
      <c r="N100" s="176"/>
      <c r="O100" s="177"/>
      <c r="P100" s="177"/>
      <c r="Q100" s="177"/>
      <c r="R100" s="177"/>
      <c r="S100" s="177"/>
      <c r="T100" s="178"/>
      <c r="AR100" s="128" t="s">
        <v>132</v>
      </c>
      <c r="AT100" s="128" t="s">
        <v>129</v>
      </c>
      <c r="AU100" s="128" t="s">
        <v>88</v>
      </c>
      <c r="AY100" s="128" t="s">
        <v>126</v>
      </c>
      <c r="BE100" s="138">
        <f t="shared" si="8"/>
        <v>0</v>
      </c>
      <c r="BF100" s="138">
        <f t="shared" si="9"/>
        <v>0</v>
      </c>
      <c r="BG100" s="138">
        <f t="shared" si="10"/>
        <v>0</v>
      </c>
      <c r="BH100" s="138">
        <f t="shared" si="11"/>
        <v>0</v>
      </c>
      <c r="BI100" s="138">
        <f t="shared" si="12"/>
        <v>0</v>
      </c>
      <c r="BJ100" s="128" t="s">
        <v>88</v>
      </c>
      <c r="BK100" s="166">
        <f t="shared" si="13"/>
        <v>0</v>
      </c>
      <c r="BL100" s="128" t="s">
        <v>132</v>
      </c>
      <c r="BM100" s="128" t="s">
        <v>166</v>
      </c>
    </row>
    <row r="101" spans="2:65" s="26" customFormat="1" ht="16.5" customHeight="1" x14ac:dyDescent="0.25">
      <c r="B101" s="169"/>
      <c r="C101" s="170">
        <v>11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f>H99</f>
        <v>265.87400000000002</v>
      </c>
      <c r="I101" s="174"/>
      <c r="J101" s="174">
        <f t="shared" si="7"/>
        <v>0</v>
      </c>
      <c r="K101" s="172" t="s">
        <v>156</v>
      </c>
      <c r="L101" s="284"/>
      <c r="M101" s="175"/>
      <c r="N101" s="176"/>
      <c r="O101" s="177"/>
      <c r="P101" s="177"/>
      <c r="Q101" s="177"/>
      <c r="R101" s="177"/>
      <c r="S101" s="177"/>
      <c r="T101" s="178"/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 t="shared" si="8"/>
        <v>0</v>
      </c>
      <c r="BF101" s="138">
        <f t="shared" si="9"/>
        <v>0</v>
      </c>
      <c r="BG101" s="138">
        <f t="shared" si="10"/>
        <v>0</v>
      </c>
      <c r="BH101" s="138">
        <f t="shared" si="11"/>
        <v>0</v>
      </c>
      <c r="BI101" s="138">
        <f t="shared" si="12"/>
        <v>0</v>
      </c>
      <c r="BJ101" s="128" t="s">
        <v>88</v>
      </c>
      <c r="BK101" s="166">
        <f t="shared" si="13"/>
        <v>0</v>
      </c>
      <c r="BL101" s="128" t="s">
        <v>132</v>
      </c>
      <c r="BM101" s="128" t="s">
        <v>169</v>
      </c>
    </row>
    <row r="102" spans="2:65" s="26" customFormat="1" ht="16.5" customHeight="1" x14ac:dyDescent="0.25">
      <c r="B102" s="169"/>
      <c r="C102" s="170">
        <v>12</v>
      </c>
      <c r="D102" s="170" t="s">
        <v>129</v>
      </c>
      <c r="E102" s="171" t="s">
        <v>170</v>
      </c>
      <c r="F102" s="172" t="s">
        <v>171</v>
      </c>
      <c r="G102" s="173" t="s">
        <v>146</v>
      </c>
      <c r="H102" s="174">
        <f>H101*14</f>
        <v>3722.2360000000003</v>
      </c>
      <c r="I102" s="174"/>
      <c r="J102" s="174">
        <f t="shared" si="7"/>
        <v>0</v>
      </c>
      <c r="K102" s="172" t="s">
        <v>156</v>
      </c>
      <c r="L102" s="284"/>
      <c r="M102" s="175"/>
      <c r="N102" s="176"/>
      <c r="O102" s="177"/>
      <c r="P102" s="177"/>
      <c r="Q102" s="177"/>
      <c r="R102" s="177"/>
      <c r="S102" s="177"/>
      <c r="T102" s="178"/>
      <c r="AR102" s="128" t="s">
        <v>132</v>
      </c>
      <c r="AT102" s="128" t="s">
        <v>129</v>
      </c>
      <c r="AU102" s="128" t="s">
        <v>88</v>
      </c>
      <c r="AY102" s="128" t="s">
        <v>126</v>
      </c>
      <c r="BE102" s="138">
        <f t="shared" si="8"/>
        <v>0</v>
      </c>
      <c r="BF102" s="138">
        <f t="shared" si="9"/>
        <v>0</v>
      </c>
      <c r="BG102" s="138">
        <f t="shared" si="10"/>
        <v>0</v>
      </c>
      <c r="BH102" s="138">
        <f t="shared" si="11"/>
        <v>0</v>
      </c>
      <c r="BI102" s="138">
        <f t="shared" si="12"/>
        <v>0</v>
      </c>
      <c r="BJ102" s="128" t="s">
        <v>88</v>
      </c>
      <c r="BK102" s="166">
        <f t="shared" si="13"/>
        <v>0</v>
      </c>
      <c r="BL102" s="128" t="s">
        <v>132</v>
      </c>
      <c r="BM102" s="128" t="s">
        <v>172</v>
      </c>
    </row>
    <row r="103" spans="2:65" s="26" customFormat="1" ht="16.5" customHeight="1" x14ac:dyDescent="0.25">
      <c r="B103" s="169"/>
      <c r="C103" s="170">
        <v>13</v>
      </c>
      <c r="D103" s="170" t="s">
        <v>129</v>
      </c>
      <c r="E103" s="171" t="s">
        <v>154</v>
      </c>
      <c r="F103" s="172" t="s">
        <v>155</v>
      </c>
      <c r="G103" s="173" t="s">
        <v>146</v>
      </c>
      <c r="H103" s="174">
        <v>162.9</v>
      </c>
      <c r="I103" s="174"/>
      <c r="J103" s="174">
        <f t="shared" si="7"/>
        <v>0</v>
      </c>
      <c r="K103" s="172" t="s">
        <v>156</v>
      </c>
      <c r="L103" s="132"/>
      <c r="M103" s="175"/>
      <c r="N103" s="176"/>
      <c r="O103" s="177"/>
      <c r="P103" s="177"/>
      <c r="Q103" s="177"/>
      <c r="R103" s="177"/>
      <c r="S103" s="177"/>
      <c r="T103" s="178"/>
      <c r="AR103" s="128" t="s">
        <v>132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132</v>
      </c>
      <c r="BM103" s="128" t="s">
        <v>157</v>
      </c>
    </row>
    <row r="104" spans="2:65" s="26" customFormat="1" ht="16.5" customHeight="1" x14ac:dyDescent="0.25">
      <c r="B104" s="169"/>
      <c r="C104" s="170">
        <v>14</v>
      </c>
      <c r="D104" s="170" t="s">
        <v>129</v>
      </c>
      <c r="E104" s="171" t="s">
        <v>158</v>
      </c>
      <c r="F104" s="172" t="s">
        <v>159</v>
      </c>
      <c r="G104" s="173" t="s">
        <v>146</v>
      </c>
      <c r="H104" s="174">
        <v>162.9</v>
      </c>
      <c r="I104" s="174"/>
      <c r="J104" s="174">
        <f>ROUND(I104*H104,3)</f>
        <v>0</v>
      </c>
      <c r="K104" s="172" t="s">
        <v>9</v>
      </c>
      <c r="L104" s="132"/>
      <c r="M104" s="175"/>
      <c r="N104" s="176"/>
      <c r="O104" s="177"/>
      <c r="P104" s="177"/>
      <c r="Q104" s="177"/>
      <c r="R104" s="177"/>
      <c r="S104" s="177"/>
      <c r="T104" s="178"/>
      <c r="AR104" s="128" t="s">
        <v>132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132</v>
      </c>
      <c r="BM104" s="128" t="s">
        <v>160</v>
      </c>
    </row>
    <row r="105" spans="2:65" s="26" customFormat="1" x14ac:dyDescent="0.25">
      <c r="B105" s="132"/>
      <c r="D105" s="179" t="s">
        <v>161</v>
      </c>
      <c r="E105" s="128" t="s">
        <v>9</v>
      </c>
      <c r="F105" s="143" t="s">
        <v>162</v>
      </c>
      <c r="H105" s="166">
        <v>162.9</v>
      </c>
      <c r="L105" s="132"/>
      <c r="M105" s="180"/>
      <c r="T105" s="181"/>
      <c r="AT105" s="128" t="s">
        <v>161</v>
      </c>
      <c r="AU105" s="128" t="s">
        <v>88</v>
      </c>
      <c r="AV105" s="26" t="s">
        <v>88</v>
      </c>
      <c r="AW105" s="26" t="s">
        <v>163</v>
      </c>
      <c r="AX105" s="26" t="s">
        <v>42</v>
      </c>
      <c r="AY105" s="128" t="s">
        <v>126</v>
      </c>
    </row>
    <row r="106" spans="2:65" s="26" customFormat="1" ht="16.5" customHeight="1" x14ac:dyDescent="0.25">
      <c r="B106" s="169"/>
      <c r="C106" s="170">
        <v>15</v>
      </c>
      <c r="D106" s="170" t="s">
        <v>129</v>
      </c>
      <c r="E106" s="171" t="s">
        <v>164</v>
      </c>
      <c r="F106" s="172" t="s">
        <v>165</v>
      </c>
      <c r="G106" s="173" t="s">
        <v>146</v>
      </c>
      <c r="H106" s="174">
        <f>H104*2</f>
        <v>325.8</v>
      </c>
      <c r="I106" s="174"/>
      <c r="J106" s="174">
        <f>ROUND(I106*H106,3)</f>
        <v>0</v>
      </c>
      <c r="K106" s="172" t="s">
        <v>156</v>
      </c>
      <c r="L106" s="132"/>
      <c r="M106" s="175"/>
      <c r="N106" s="176"/>
      <c r="O106" s="177"/>
      <c r="P106" s="177"/>
      <c r="Q106" s="177"/>
      <c r="R106" s="177"/>
      <c r="S106" s="177"/>
      <c r="T106" s="178"/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166</v>
      </c>
    </row>
    <row r="107" spans="2:65" s="26" customFormat="1" x14ac:dyDescent="0.25">
      <c r="B107" s="132"/>
      <c r="D107" s="179" t="s">
        <v>161</v>
      </c>
      <c r="E107" s="128" t="s">
        <v>9</v>
      </c>
      <c r="F107" s="143" t="s">
        <v>527</v>
      </c>
      <c r="H107" s="166"/>
      <c r="L107" s="132"/>
      <c r="M107" s="180"/>
      <c r="T107" s="181"/>
      <c r="AT107" s="128" t="s">
        <v>161</v>
      </c>
      <c r="AU107" s="128" t="s">
        <v>88</v>
      </c>
      <c r="AV107" s="26" t="s">
        <v>88</v>
      </c>
      <c r="AW107" s="26" t="s">
        <v>163</v>
      </c>
      <c r="AX107" s="26" t="s">
        <v>42</v>
      </c>
      <c r="AY107" s="128" t="s">
        <v>126</v>
      </c>
    </row>
    <row r="108" spans="2:65" s="26" customFormat="1" ht="16.5" customHeight="1" x14ac:dyDescent="0.25">
      <c r="B108" s="169"/>
      <c r="C108" s="170">
        <v>16</v>
      </c>
      <c r="D108" s="170" t="s">
        <v>129</v>
      </c>
      <c r="E108" s="171" t="s">
        <v>167</v>
      </c>
      <c r="F108" s="172" t="s">
        <v>168</v>
      </c>
      <c r="G108" s="173" t="s">
        <v>146</v>
      </c>
      <c r="H108" s="174">
        <v>162.9</v>
      </c>
      <c r="I108" s="174"/>
      <c r="J108" s="174">
        <f>ROUND(I108*H108,3)</f>
        <v>0</v>
      </c>
      <c r="K108" s="172" t="s">
        <v>156</v>
      </c>
      <c r="L108" s="132"/>
      <c r="M108" s="175"/>
      <c r="N108" s="176"/>
      <c r="O108" s="177"/>
      <c r="P108" s="177"/>
      <c r="Q108" s="177"/>
      <c r="R108" s="177"/>
      <c r="S108" s="177"/>
      <c r="T108" s="178"/>
      <c r="AR108" s="128" t="s">
        <v>132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132</v>
      </c>
      <c r="BM108" s="128" t="s">
        <v>169</v>
      </c>
    </row>
    <row r="109" spans="2:65" s="26" customFormat="1" x14ac:dyDescent="0.25">
      <c r="B109" s="132"/>
      <c r="D109" s="179" t="s">
        <v>161</v>
      </c>
      <c r="E109" s="128" t="s">
        <v>9</v>
      </c>
      <c r="F109" s="143" t="s">
        <v>162</v>
      </c>
      <c r="H109" s="166">
        <v>162.9</v>
      </c>
      <c r="L109" s="132"/>
      <c r="M109" s="180"/>
      <c r="T109" s="181"/>
      <c r="AT109" s="128" t="s">
        <v>161</v>
      </c>
      <c r="AU109" s="128" t="s">
        <v>88</v>
      </c>
      <c r="AV109" s="26" t="s">
        <v>88</v>
      </c>
      <c r="AW109" s="26" t="s">
        <v>163</v>
      </c>
      <c r="AX109" s="26" t="s">
        <v>42</v>
      </c>
      <c r="AY109" s="128" t="s">
        <v>126</v>
      </c>
    </row>
    <row r="110" spans="2:65" s="26" customFormat="1" ht="16.5" customHeight="1" x14ac:dyDescent="0.25">
      <c r="B110" s="169"/>
      <c r="C110" s="170">
        <v>17</v>
      </c>
      <c r="D110" s="170" t="s">
        <v>129</v>
      </c>
      <c r="E110" s="171" t="s">
        <v>170</v>
      </c>
      <c r="F110" s="172" t="s">
        <v>171</v>
      </c>
      <c r="G110" s="173" t="s">
        <v>146</v>
      </c>
      <c r="H110" s="174">
        <v>2280.6</v>
      </c>
      <c r="I110" s="174"/>
      <c r="J110" s="174">
        <f>ROUND(I110*H110,3)</f>
        <v>0</v>
      </c>
      <c r="K110" s="172" t="s">
        <v>156</v>
      </c>
      <c r="L110" s="132"/>
      <c r="M110" s="175"/>
      <c r="N110" s="176"/>
      <c r="O110" s="177"/>
      <c r="P110" s="177"/>
      <c r="Q110" s="177"/>
      <c r="R110" s="177"/>
      <c r="S110" s="177"/>
      <c r="T110" s="178"/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172</v>
      </c>
    </row>
    <row r="111" spans="2:65" s="26" customFormat="1" x14ac:dyDescent="0.25">
      <c r="B111" s="132"/>
      <c r="D111" s="179" t="s">
        <v>161</v>
      </c>
      <c r="E111" s="128" t="s">
        <v>9</v>
      </c>
      <c r="F111" s="143" t="s">
        <v>173</v>
      </c>
      <c r="H111" s="166">
        <v>2280.6</v>
      </c>
      <c r="L111" s="132"/>
      <c r="M111" s="180"/>
      <c r="T111" s="181"/>
      <c r="AT111" s="128" t="s">
        <v>161</v>
      </c>
      <c r="AU111" s="128" t="s">
        <v>88</v>
      </c>
      <c r="AV111" s="26" t="s">
        <v>88</v>
      </c>
      <c r="AW111" s="26" t="s">
        <v>163</v>
      </c>
      <c r="AX111" s="26" t="s">
        <v>42</v>
      </c>
      <c r="AY111" s="128" t="s">
        <v>126</v>
      </c>
    </row>
    <row r="112" spans="2:65" s="26" customFormat="1" ht="16.5" customHeight="1" x14ac:dyDescent="0.25">
      <c r="B112" s="169"/>
      <c r="C112" s="170">
        <v>18</v>
      </c>
      <c r="D112" s="170" t="s">
        <v>129</v>
      </c>
      <c r="E112" s="171" t="s">
        <v>174</v>
      </c>
      <c r="F112" s="172" t="s">
        <v>175</v>
      </c>
      <c r="G112" s="173" t="s">
        <v>146</v>
      </c>
      <c r="H112" s="174">
        <f>13.05+152.204*2.2</f>
        <v>347.89880000000005</v>
      </c>
      <c r="I112" s="174"/>
      <c r="J112" s="174">
        <f>ROUND(I112*H112,3)</f>
        <v>0</v>
      </c>
      <c r="K112" s="172" t="s">
        <v>156</v>
      </c>
      <c r="L112" s="132"/>
      <c r="M112" s="175"/>
      <c r="N112" s="176"/>
      <c r="O112" s="177"/>
      <c r="P112" s="177"/>
      <c r="Q112" s="177"/>
      <c r="R112" s="177"/>
      <c r="S112" s="177"/>
      <c r="T112" s="178"/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176</v>
      </c>
    </row>
    <row r="113" spans="2:65" s="26" customFormat="1" ht="16.5" customHeight="1" x14ac:dyDescent="0.25">
      <c r="B113" s="169"/>
      <c r="C113" s="170">
        <v>19</v>
      </c>
      <c r="D113" s="170" t="s">
        <v>129</v>
      </c>
      <c r="E113" s="171" t="s">
        <v>158</v>
      </c>
      <c r="F113" s="172" t="s">
        <v>159</v>
      </c>
      <c r="G113" s="173" t="s">
        <v>146</v>
      </c>
      <c r="H113" s="174">
        <f>H112</f>
        <v>347.89880000000005</v>
      </c>
      <c r="I113" s="174"/>
      <c r="J113" s="174">
        <f>ROUND(I113*H113,3)</f>
        <v>0</v>
      </c>
      <c r="K113" s="172" t="s">
        <v>9</v>
      </c>
      <c r="L113" s="132"/>
      <c r="M113" s="175"/>
      <c r="N113" s="176"/>
      <c r="O113" s="177"/>
      <c r="P113" s="177"/>
      <c r="Q113" s="177"/>
      <c r="R113" s="177"/>
      <c r="S113" s="177"/>
      <c r="T113" s="178"/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177</v>
      </c>
    </row>
    <row r="114" spans="2:65" s="26" customFormat="1" x14ac:dyDescent="0.25">
      <c r="B114" s="132"/>
      <c r="D114" s="179" t="s">
        <v>161</v>
      </c>
      <c r="E114" s="128" t="s">
        <v>9</v>
      </c>
      <c r="F114" s="143" t="s">
        <v>570</v>
      </c>
      <c r="H114" s="166"/>
      <c r="L114" s="132"/>
      <c r="M114" s="180"/>
      <c r="T114" s="181"/>
      <c r="AT114" s="128" t="s">
        <v>161</v>
      </c>
      <c r="AU114" s="128" t="s">
        <v>88</v>
      </c>
      <c r="AV114" s="26" t="s">
        <v>88</v>
      </c>
      <c r="AW114" s="26" t="s">
        <v>163</v>
      </c>
      <c r="AX114" s="26" t="s">
        <v>42</v>
      </c>
      <c r="AY114" s="128" t="s">
        <v>126</v>
      </c>
    </row>
    <row r="115" spans="2:65" s="26" customFormat="1" ht="16.5" customHeight="1" x14ac:dyDescent="0.25">
      <c r="B115" s="169"/>
      <c r="C115" s="170">
        <v>20</v>
      </c>
      <c r="D115" s="170" t="s">
        <v>129</v>
      </c>
      <c r="E115" s="171" t="s">
        <v>164</v>
      </c>
      <c r="F115" s="172" t="s">
        <v>165</v>
      </c>
      <c r="G115" s="173" t="s">
        <v>146</v>
      </c>
      <c r="H115" s="174">
        <f>H112*2</f>
        <v>695.7976000000001</v>
      </c>
      <c r="I115" s="174"/>
      <c r="J115" s="174">
        <f>ROUND(I115*H115,3)</f>
        <v>0</v>
      </c>
      <c r="K115" s="172" t="s">
        <v>156</v>
      </c>
      <c r="L115" s="132"/>
      <c r="M115" s="175"/>
      <c r="N115" s="176"/>
      <c r="O115" s="177"/>
      <c r="P115" s="177"/>
      <c r="Q115" s="177"/>
      <c r="R115" s="177"/>
      <c r="S115" s="177"/>
      <c r="T115" s="178"/>
      <c r="AR115" s="128" t="s">
        <v>132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132</v>
      </c>
      <c r="BM115" s="128" t="s">
        <v>178</v>
      </c>
    </row>
    <row r="116" spans="2:65" s="26" customFormat="1" x14ac:dyDescent="0.25">
      <c r="B116" s="132"/>
      <c r="D116" s="179" t="s">
        <v>161</v>
      </c>
      <c r="E116" s="128" t="s">
        <v>9</v>
      </c>
      <c r="F116" s="143" t="s">
        <v>581</v>
      </c>
      <c r="H116" s="166"/>
      <c r="L116" s="132"/>
      <c r="M116" s="180"/>
      <c r="T116" s="181"/>
      <c r="AT116" s="128" t="s">
        <v>161</v>
      </c>
      <c r="AU116" s="128" t="s">
        <v>88</v>
      </c>
      <c r="AV116" s="26" t="s">
        <v>88</v>
      </c>
      <c r="AW116" s="26" t="s">
        <v>163</v>
      </c>
      <c r="AX116" s="26" t="s">
        <v>42</v>
      </c>
      <c r="AY116" s="128" t="s">
        <v>126</v>
      </c>
    </row>
    <row r="117" spans="2:65" s="26" customFormat="1" ht="16.5" customHeight="1" x14ac:dyDescent="0.25">
      <c r="B117" s="169"/>
      <c r="C117" s="170">
        <v>21</v>
      </c>
      <c r="D117" s="170" t="s">
        <v>129</v>
      </c>
      <c r="E117" s="171" t="s">
        <v>167</v>
      </c>
      <c r="F117" s="172" t="s">
        <v>168</v>
      </c>
      <c r="G117" s="173" t="s">
        <v>146</v>
      </c>
      <c r="H117" s="174">
        <f>H112</f>
        <v>347.89880000000005</v>
      </c>
      <c r="I117" s="174"/>
      <c r="J117" s="174">
        <f>ROUND(I117*H117,3)</f>
        <v>0</v>
      </c>
      <c r="K117" s="172" t="s">
        <v>156</v>
      </c>
      <c r="L117" s="132"/>
      <c r="M117" s="175"/>
      <c r="N117" s="176"/>
      <c r="O117" s="177"/>
      <c r="P117" s="177"/>
      <c r="Q117" s="177"/>
      <c r="R117" s="177"/>
      <c r="S117" s="177"/>
      <c r="T117" s="178"/>
      <c r="AR117" s="128" t="s">
        <v>132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132</v>
      </c>
      <c r="BM117" s="128" t="s">
        <v>179</v>
      </c>
    </row>
    <row r="118" spans="2:65" s="26" customFormat="1" x14ac:dyDescent="0.25">
      <c r="B118" s="132"/>
      <c r="D118" s="179" t="s">
        <v>161</v>
      </c>
      <c r="E118" s="128" t="s">
        <v>9</v>
      </c>
      <c r="F118" s="143"/>
      <c r="H118" s="166"/>
      <c r="L118" s="132"/>
      <c r="M118" s="180"/>
      <c r="T118" s="181"/>
      <c r="AT118" s="128" t="s">
        <v>161</v>
      </c>
      <c r="AU118" s="128" t="s">
        <v>88</v>
      </c>
      <c r="AV118" s="26" t="s">
        <v>88</v>
      </c>
      <c r="AW118" s="26" t="s">
        <v>163</v>
      </c>
      <c r="AX118" s="26" t="s">
        <v>42</v>
      </c>
      <c r="AY118" s="128" t="s">
        <v>126</v>
      </c>
    </row>
    <row r="119" spans="2:65" s="26" customFormat="1" ht="16.5" customHeight="1" x14ac:dyDescent="0.25">
      <c r="B119" s="169"/>
      <c r="C119" s="170">
        <v>22</v>
      </c>
      <c r="D119" s="170" t="s">
        <v>129</v>
      </c>
      <c r="E119" s="171" t="s">
        <v>170</v>
      </c>
      <c r="F119" s="172" t="s">
        <v>171</v>
      </c>
      <c r="G119" s="173" t="s">
        <v>146</v>
      </c>
      <c r="H119" s="174">
        <f>H117*14</f>
        <v>4870.5832000000009</v>
      </c>
      <c r="I119" s="174"/>
      <c r="J119" s="174">
        <f>ROUND(I119*H119,3)</f>
        <v>0</v>
      </c>
      <c r="K119" s="172" t="s">
        <v>156</v>
      </c>
      <c r="L119" s="132"/>
      <c r="M119" s="175"/>
      <c r="N119" s="176"/>
      <c r="O119" s="177"/>
      <c r="P119" s="177"/>
      <c r="Q119" s="177"/>
      <c r="R119" s="177"/>
      <c r="S119" s="177"/>
      <c r="T119" s="178"/>
      <c r="AR119" s="128" t="s">
        <v>132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132</v>
      </c>
      <c r="BM119" s="128" t="s">
        <v>180</v>
      </c>
    </row>
    <row r="120" spans="2:65" s="26" customFormat="1" x14ac:dyDescent="0.25">
      <c r="B120" s="132"/>
      <c r="D120" s="179" t="s">
        <v>161</v>
      </c>
      <c r="E120" s="128" t="s">
        <v>9</v>
      </c>
      <c r="F120" s="143" t="s">
        <v>582</v>
      </c>
      <c r="H120" s="166"/>
      <c r="L120" s="132"/>
      <c r="M120" s="180"/>
      <c r="T120" s="181"/>
      <c r="AT120" s="128" t="s">
        <v>161</v>
      </c>
      <c r="AU120" s="128" t="s">
        <v>88</v>
      </c>
      <c r="AV120" s="26" t="s">
        <v>88</v>
      </c>
      <c r="AW120" s="26" t="s">
        <v>163</v>
      </c>
      <c r="AX120" s="26" t="s">
        <v>42</v>
      </c>
      <c r="AY120" s="128" t="s">
        <v>126</v>
      </c>
    </row>
    <row r="121" spans="2:65" s="26" customFormat="1" ht="16.5" customHeight="1" x14ac:dyDescent="0.25">
      <c r="B121" s="169"/>
      <c r="C121" s="170">
        <v>23</v>
      </c>
      <c r="D121" s="170" t="s">
        <v>129</v>
      </c>
      <c r="E121" s="171" t="s">
        <v>182</v>
      </c>
      <c r="F121" s="172" t="s">
        <v>183</v>
      </c>
      <c r="G121" s="173" t="s">
        <v>146</v>
      </c>
      <c r="H121" s="174">
        <v>2.0790000000000002</v>
      </c>
      <c r="I121" s="174"/>
      <c r="J121" s="174">
        <f>ROUND(I121*H121,3)</f>
        <v>0</v>
      </c>
      <c r="K121" s="172" t="s">
        <v>156</v>
      </c>
      <c r="L121" s="132"/>
      <c r="M121" s="175"/>
      <c r="N121" s="176"/>
      <c r="O121" s="177"/>
      <c r="P121" s="177"/>
      <c r="Q121" s="177"/>
      <c r="R121" s="177"/>
      <c r="S121" s="177"/>
      <c r="T121" s="178"/>
      <c r="AR121" s="128" t="s">
        <v>132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132</v>
      </c>
      <c r="BM121" s="128" t="s">
        <v>184</v>
      </c>
    </row>
    <row r="122" spans="2:65" s="26" customFormat="1" ht="16.5" customHeight="1" x14ac:dyDescent="0.25">
      <c r="B122" s="169"/>
      <c r="C122" s="170">
        <v>24</v>
      </c>
      <c r="D122" s="170" t="s">
        <v>129</v>
      </c>
      <c r="E122" s="171" t="s">
        <v>158</v>
      </c>
      <c r="F122" s="172" t="s">
        <v>159</v>
      </c>
      <c r="G122" s="173" t="s">
        <v>146</v>
      </c>
      <c r="H122" s="174">
        <v>2.0790000000000002</v>
      </c>
      <c r="I122" s="174"/>
      <c r="J122" s="174">
        <f>ROUND(I122*H122,3)</f>
        <v>0</v>
      </c>
      <c r="K122" s="172" t="s">
        <v>9</v>
      </c>
      <c r="L122" s="132"/>
      <c r="M122" s="175"/>
      <c r="N122" s="176"/>
      <c r="O122" s="177"/>
      <c r="P122" s="177"/>
      <c r="Q122" s="177"/>
      <c r="R122" s="177"/>
      <c r="S122" s="177"/>
      <c r="T122" s="178"/>
      <c r="AR122" s="128" t="s">
        <v>132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132</v>
      </c>
      <c r="BM122" s="128" t="s">
        <v>185</v>
      </c>
    </row>
    <row r="123" spans="2:65" s="26" customFormat="1" x14ac:dyDescent="0.25">
      <c r="B123" s="132"/>
      <c r="D123" s="179" t="s">
        <v>161</v>
      </c>
      <c r="E123" s="128" t="s">
        <v>9</v>
      </c>
      <c r="F123" s="143" t="s">
        <v>90</v>
      </c>
      <c r="H123" s="166">
        <v>2.0790000000000002</v>
      </c>
      <c r="L123" s="132"/>
      <c r="M123" s="180"/>
      <c r="T123" s="181"/>
      <c r="AT123" s="128" t="s">
        <v>161</v>
      </c>
      <c r="AU123" s="128" t="s">
        <v>88</v>
      </c>
      <c r="AV123" s="26" t="s">
        <v>88</v>
      </c>
      <c r="AW123" s="26" t="s">
        <v>163</v>
      </c>
      <c r="AX123" s="26" t="s">
        <v>42</v>
      </c>
      <c r="AY123" s="128" t="s">
        <v>126</v>
      </c>
    </row>
    <row r="124" spans="2:65" s="26" customFormat="1" ht="16.5" customHeight="1" x14ac:dyDescent="0.25">
      <c r="B124" s="169"/>
      <c r="C124" s="170">
        <v>25</v>
      </c>
      <c r="D124" s="170" t="s">
        <v>129</v>
      </c>
      <c r="E124" s="171" t="s">
        <v>164</v>
      </c>
      <c r="F124" s="172" t="s">
        <v>165</v>
      </c>
      <c r="G124" s="173" t="s">
        <v>146</v>
      </c>
      <c r="H124" s="174">
        <f>H122*2</f>
        <v>4.1580000000000004</v>
      </c>
      <c r="I124" s="174"/>
      <c r="J124" s="174">
        <f>ROUND(I124*H124,3)</f>
        <v>0</v>
      </c>
      <c r="K124" s="172" t="s">
        <v>9</v>
      </c>
      <c r="L124" s="132"/>
      <c r="M124" s="175"/>
      <c r="N124" s="176"/>
      <c r="O124" s="177"/>
      <c r="P124" s="177"/>
      <c r="Q124" s="177"/>
      <c r="R124" s="177"/>
      <c r="S124" s="177"/>
      <c r="T124" s="178"/>
      <c r="AR124" s="128" t="s">
        <v>132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132</v>
      </c>
      <c r="BM124" s="128" t="s">
        <v>186</v>
      </c>
    </row>
    <row r="125" spans="2:65" s="26" customFormat="1" x14ac:dyDescent="0.25">
      <c r="B125" s="132"/>
      <c r="D125" s="179" t="s">
        <v>161</v>
      </c>
      <c r="E125" s="128" t="s">
        <v>9</v>
      </c>
      <c r="F125" s="143" t="s">
        <v>583</v>
      </c>
      <c r="H125" s="166"/>
      <c r="L125" s="132"/>
      <c r="M125" s="180"/>
      <c r="T125" s="181"/>
      <c r="AT125" s="128" t="s">
        <v>161</v>
      </c>
      <c r="AU125" s="128" t="s">
        <v>88</v>
      </c>
      <c r="AV125" s="26" t="s">
        <v>88</v>
      </c>
      <c r="AW125" s="26" t="s">
        <v>163</v>
      </c>
      <c r="AX125" s="26" t="s">
        <v>42</v>
      </c>
      <c r="AY125" s="128" t="s">
        <v>126</v>
      </c>
    </row>
    <row r="126" spans="2:65" s="26" customFormat="1" ht="16.5" customHeight="1" x14ac:dyDescent="0.25">
      <c r="B126" s="169"/>
      <c r="C126" s="170">
        <v>26</v>
      </c>
      <c r="D126" s="170" t="s">
        <v>129</v>
      </c>
      <c r="E126" s="171" t="s">
        <v>167</v>
      </c>
      <c r="F126" s="172" t="s">
        <v>168</v>
      </c>
      <c r="G126" s="173" t="s">
        <v>146</v>
      </c>
      <c r="H126" s="174">
        <v>2.0790000000000002</v>
      </c>
      <c r="I126" s="174"/>
      <c r="J126" s="174">
        <f>ROUND(I126*H126,3)</f>
        <v>0</v>
      </c>
      <c r="K126" s="172" t="s">
        <v>156</v>
      </c>
      <c r="L126" s="132"/>
      <c r="M126" s="175"/>
      <c r="N126" s="176"/>
      <c r="O126" s="177"/>
      <c r="P126" s="177"/>
      <c r="Q126" s="177"/>
      <c r="R126" s="177"/>
      <c r="S126" s="177"/>
      <c r="T126" s="178"/>
      <c r="AR126" s="128" t="s">
        <v>132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132</v>
      </c>
      <c r="BM126" s="128" t="s">
        <v>188</v>
      </c>
    </row>
    <row r="127" spans="2:65" s="26" customFormat="1" x14ac:dyDescent="0.25">
      <c r="B127" s="132"/>
      <c r="D127" s="179" t="s">
        <v>161</v>
      </c>
      <c r="E127" s="128" t="s">
        <v>9</v>
      </c>
      <c r="F127" s="143" t="s">
        <v>90</v>
      </c>
      <c r="H127" s="166">
        <v>2.0790000000000002</v>
      </c>
      <c r="L127" s="132"/>
      <c r="M127" s="180"/>
      <c r="T127" s="181"/>
      <c r="AT127" s="128" t="s">
        <v>161</v>
      </c>
      <c r="AU127" s="128" t="s">
        <v>88</v>
      </c>
      <c r="AV127" s="26" t="s">
        <v>88</v>
      </c>
      <c r="AW127" s="26" t="s">
        <v>163</v>
      </c>
      <c r="AX127" s="26" t="s">
        <v>42</v>
      </c>
      <c r="AY127" s="128" t="s">
        <v>126</v>
      </c>
    </row>
    <row r="128" spans="2:65" s="26" customFormat="1" ht="16.5" customHeight="1" x14ac:dyDescent="0.25">
      <c r="B128" s="169"/>
      <c r="C128" s="170">
        <v>27</v>
      </c>
      <c r="D128" s="170" t="s">
        <v>129</v>
      </c>
      <c r="E128" s="171" t="s">
        <v>170</v>
      </c>
      <c r="F128" s="172" t="s">
        <v>171</v>
      </c>
      <c r="G128" s="173" t="s">
        <v>146</v>
      </c>
      <c r="H128" s="174">
        <v>29.106000000000002</v>
      </c>
      <c r="I128" s="174"/>
      <c r="J128" s="174">
        <f>ROUND(I128*H128,3)</f>
        <v>0</v>
      </c>
      <c r="K128" s="172" t="s">
        <v>156</v>
      </c>
      <c r="L128" s="132"/>
      <c r="M128" s="175"/>
      <c r="N128" s="176"/>
      <c r="O128" s="177"/>
      <c r="P128" s="177"/>
      <c r="Q128" s="177"/>
      <c r="R128" s="177"/>
      <c r="S128" s="177"/>
      <c r="T128" s="178"/>
      <c r="AR128" s="128" t="s">
        <v>132</v>
      </c>
      <c r="AT128" s="128" t="s">
        <v>129</v>
      </c>
      <c r="AU128" s="128" t="s">
        <v>88</v>
      </c>
      <c r="AY128" s="128" t="s">
        <v>126</v>
      </c>
      <c r="BE128" s="138">
        <f>IF(N128="základná",J128,0)</f>
        <v>0</v>
      </c>
      <c r="BF128" s="138">
        <f>IF(N128="znížená",J128,0)</f>
        <v>0</v>
      </c>
      <c r="BG128" s="138">
        <f>IF(N128="zákl. prenesená",J128,0)</f>
        <v>0</v>
      </c>
      <c r="BH128" s="138">
        <f>IF(N128="zníž. prenesená",J128,0)</f>
        <v>0</v>
      </c>
      <c r="BI128" s="138">
        <f>IF(N128="nulová",J128,0)</f>
        <v>0</v>
      </c>
      <c r="BJ128" s="128" t="s">
        <v>88</v>
      </c>
      <c r="BK128" s="166">
        <f>ROUND(I128*H128,3)</f>
        <v>0</v>
      </c>
      <c r="BL128" s="128" t="s">
        <v>132</v>
      </c>
      <c r="BM128" s="128" t="s">
        <v>189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190</v>
      </c>
      <c r="H129" s="166">
        <v>29.106000000000002</v>
      </c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42</v>
      </c>
      <c r="AY129" s="128" t="s">
        <v>126</v>
      </c>
    </row>
    <row r="130" spans="2:65" s="158" customFormat="1" ht="25.9" customHeight="1" x14ac:dyDescent="0.2">
      <c r="B130" s="157"/>
      <c r="D130" s="159" t="s">
        <v>123</v>
      </c>
      <c r="E130" s="160" t="s">
        <v>191</v>
      </c>
      <c r="F130" s="160" t="s">
        <v>192</v>
      </c>
      <c r="J130" s="161">
        <f>J131+J150+J155</f>
        <v>0</v>
      </c>
      <c r="L130" s="157"/>
      <c r="M130" s="162"/>
      <c r="P130" s="163"/>
      <c r="R130" s="163"/>
      <c r="T130" s="164"/>
      <c r="AR130" s="159" t="s">
        <v>88</v>
      </c>
      <c r="AT130" s="165" t="s">
        <v>123</v>
      </c>
      <c r="AU130" s="165" t="s">
        <v>39</v>
      </c>
      <c r="AY130" s="159" t="s">
        <v>126</v>
      </c>
      <c r="BK130" s="166">
        <f>BK131+BK150+BK155</f>
        <v>0</v>
      </c>
    </row>
    <row r="131" spans="2:65" s="158" customFormat="1" ht="22.9" customHeight="1" x14ac:dyDescent="0.2">
      <c r="B131" s="157"/>
      <c r="D131" s="159" t="s">
        <v>123</v>
      </c>
      <c r="E131" s="167" t="s">
        <v>193</v>
      </c>
      <c r="F131" s="167" t="s">
        <v>194</v>
      </c>
      <c r="J131" s="168">
        <f>SUM(J132:J149)</f>
        <v>0</v>
      </c>
      <c r="L131" s="157"/>
      <c r="M131" s="162"/>
      <c r="P131" s="163"/>
      <c r="R131" s="163"/>
      <c r="T131" s="164"/>
      <c r="AR131" s="159" t="s">
        <v>88</v>
      </c>
      <c r="AT131" s="165" t="s">
        <v>123</v>
      </c>
      <c r="AU131" s="165" t="s">
        <v>42</v>
      </c>
      <c r="AY131" s="159" t="s">
        <v>126</v>
      </c>
      <c r="BK131" s="166">
        <f>SUM(BK132:BK149)</f>
        <v>0</v>
      </c>
    </row>
    <row r="132" spans="2:65" s="26" customFormat="1" ht="16.5" customHeight="1" x14ac:dyDescent="0.25">
      <c r="B132" s="169"/>
      <c r="C132" s="170">
        <v>28</v>
      </c>
      <c r="D132" s="170" t="s">
        <v>129</v>
      </c>
      <c r="E132" s="171" t="s">
        <v>199</v>
      </c>
      <c r="F132" s="172" t="s">
        <v>200</v>
      </c>
      <c r="G132" s="173" t="s">
        <v>136</v>
      </c>
      <c r="H132" s="174">
        <v>311</v>
      </c>
      <c r="I132" s="174"/>
      <c r="J132" s="174">
        <f>ROUND(I132*H132,3)</f>
        <v>0</v>
      </c>
      <c r="K132" s="172" t="s">
        <v>9</v>
      </c>
      <c r="L132" s="132"/>
      <c r="M132" s="175"/>
      <c r="N132" s="176"/>
      <c r="O132" s="177"/>
      <c r="P132" s="177"/>
      <c r="Q132" s="177"/>
      <c r="R132" s="177"/>
      <c r="S132" s="177"/>
      <c r="T132" s="178"/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201</v>
      </c>
    </row>
    <row r="133" spans="2:65" s="26" customFormat="1" ht="16.5" customHeight="1" x14ac:dyDescent="0.25">
      <c r="B133" s="169"/>
      <c r="C133" s="170"/>
      <c r="D133" s="170"/>
      <c r="E133" s="171"/>
      <c r="F133" s="172" t="s">
        <v>584</v>
      </c>
      <c r="G133" s="173"/>
      <c r="H133" s="174"/>
      <c r="I133" s="174"/>
      <c r="J133" s="174"/>
      <c r="K133" s="172"/>
      <c r="L133" s="132"/>
      <c r="M133" s="175"/>
      <c r="N133" s="176"/>
      <c r="O133" s="177"/>
      <c r="P133" s="177"/>
      <c r="Q133" s="177"/>
      <c r="R133" s="177"/>
      <c r="S133" s="177"/>
      <c r="T133" s="178"/>
      <c r="AR133" s="128"/>
      <c r="AT133" s="128"/>
      <c r="AU133" s="128"/>
      <c r="AY133" s="128"/>
      <c r="BE133" s="138"/>
      <c r="BF133" s="138"/>
      <c r="BG133" s="138"/>
      <c r="BH133" s="138"/>
      <c r="BI133" s="138"/>
      <c r="BJ133" s="128"/>
      <c r="BK133" s="166"/>
      <c r="BL133" s="128"/>
      <c r="BM133" s="128"/>
    </row>
    <row r="134" spans="2:65" s="26" customFormat="1" ht="16.5" customHeight="1" x14ac:dyDescent="0.25">
      <c r="B134" s="169"/>
      <c r="C134" s="170">
        <v>29</v>
      </c>
      <c r="D134" s="170" t="s">
        <v>129</v>
      </c>
      <c r="E134" s="171" t="s">
        <v>203</v>
      </c>
      <c r="F134" s="172" t="s">
        <v>204</v>
      </c>
      <c r="G134" s="173" t="s">
        <v>205</v>
      </c>
      <c r="H134" s="174">
        <v>2</v>
      </c>
      <c r="I134" s="174"/>
      <c r="J134" s="174">
        <f>ROUND(I134*H134,3)</f>
        <v>0</v>
      </c>
      <c r="K134" s="172" t="s">
        <v>9</v>
      </c>
      <c r="L134" s="132"/>
      <c r="M134" s="175"/>
      <c r="N134" s="176"/>
      <c r="O134" s="177"/>
      <c r="P134" s="177"/>
      <c r="Q134" s="177"/>
      <c r="R134" s="177"/>
      <c r="S134" s="177"/>
      <c r="T134" s="178"/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206</v>
      </c>
    </row>
    <row r="135" spans="2:65" s="26" customFormat="1" ht="16.5" customHeight="1" x14ac:dyDescent="0.25">
      <c r="B135" s="169"/>
      <c r="C135" s="170">
        <v>30</v>
      </c>
      <c r="D135" s="170" t="s">
        <v>129</v>
      </c>
      <c r="E135" s="171" t="s">
        <v>465</v>
      </c>
      <c r="F135" s="172" t="s">
        <v>466</v>
      </c>
      <c r="G135" s="173" t="s">
        <v>136</v>
      </c>
      <c r="H135" s="174">
        <v>2713</v>
      </c>
      <c r="I135" s="174"/>
      <c r="J135" s="174">
        <f>ROUND(I135*H135,3)</f>
        <v>0</v>
      </c>
      <c r="K135" s="172" t="s">
        <v>9</v>
      </c>
      <c r="L135" s="132"/>
      <c r="M135" s="175"/>
      <c r="N135" s="176"/>
      <c r="O135" s="177"/>
      <c r="P135" s="177"/>
      <c r="Q135" s="177"/>
      <c r="R135" s="177"/>
      <c r="S135" s="177"/>
      <c r="T135" s="178"/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467</v>
      </c>
    </row>
    <row r="136" spans="2:65" s="26" customFormat="1" ht="16.5" customHeight="1" x14ac:dyDescent="0.25">
      <c r="B136" s="169"/>
      <c r="C136" s="170">
        <v>31</v>
      </c>
      <c r="D136" s="170" t="s">
        <v>129</v>
      </c>
      <c r="E136" s="171" t="s">
        <v>210</v>
      </c>
      <c r="F136" s="172" t="s">
        <v>211</v>
      </c>
      <c r="G136" s="173" t="s">
        <v>136</v>
      </c>
      <c r="H136" s="174">
        <f>H137</f>
        <v>5019.3999999999996</v>
      </c>
      <c r="I136" s="174"/>
      <c r="J136" s="174">
        <f>ROUND(I136*H136,3)</f>
        <v>0</v>
      </c>
      <c r="K136" s="172" t="s">
        <v>9</v>
      </c>
      <c r="L136" s="204"/>
      <c r="M136" s="175"/>
      <c r="N136" s="176"/>
      <c r="O136" s="177"/>
      <c r="P136" s="177"/>
      <c r="Q136" s="177"/>
      <c r="R136" s="177"/>
      <c r="S136" s="177"/>
      <c r="T136" s="178"/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212</v>
      </c>
    </row>
    <row r="137" spans="2:65" s="26" customFormat="1" x14ac:dyDescent="0.25">
      <c r="B137" s="132"/>
      <c r="D137" s="179" t="s">
        <v>161</v>
      </c>
      <c r="E137" s="128" t="s">
        <v>9</v>
      </c>
      <c r="F137" s="143" t="s">
        <v>585</v>
      </c>
      <c r="H137" s="166">
        <f>4234+785.4</f>
        <v>5019.3999999999996</v>
      </c>
      <c r="L137" s="132"/>
      <c r="M137" s="180"/>
      <c r="T137" s="181"/>
      <c r="AT137" s="128" t="s">
        <v>161</v>
      </c>
      <c r="AU137" s="128" t="s">
        <v>88</v>
      </c>
      <c r="AV137" s="26" t="s">
        <v>88</v>
      </c>
      <c r="AW137" s="26" t="s">
        <v>163</v>
      </c>
      <c r="AX137" s="26" t="s">
        <v>42</v>
      </c>
      <c r="AY137" s="128" t="s">
        <v>126</v>
      </c>
    </row>
    <row r="138" spans="2:65" s="26" customFormat="1" ht="16.5" customHeight="1" x14ac:dyDescent="0.25">
      <c r="B138" s="169"/>
      <c r="C138" s="170">
        <v>32</v>
      </c>
      <c r="D138" s="170" t="s">
        <v>129</v>
      </c>
      <c r="E138" s="171" t="s">
        <v>214</v>
      </c>
      <c r="F138" s="172" t="s">
        <v>416</v>
      </c>
      <c r="G138" s="173" t="s">
        <v>136</v>
      </c>
      <c r="H138" s="174">
        <f>H140</f>
        <v>12702</v>
      </c>
      <c r="I138" s="174"/>
      <c r="J138" s="174">
        <f>ROUND(I138*H138,3)</f>
        <v>0</v>
      </c>
      <c r="K138" s="172" t="s">
        <v>156</v>
      </c>
      <c r="L138" s="132"/>
      <c r="M138" s="175"/>
      <c r="N138" s="176"/>
      <c r="O138" s="177"/>
      <c r="P138" s="177"/>
      <c r="Q138" s="177"/>
      <c r="R138" s="177"/>
      <c r="S138" s="177"/>
      <c r="T138" s="178"/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216</v>
      </c>
    </row>
    <row r="139" spans="2:65" s="26" customFormat="1" x14ac:dyDescent="0.25">
      <c r="B139" s="132"/>
      <c r="D139" s="179" t="s">
        <v>161</v>
      </c>
      <c r="E139" s="128" t="s">
        <v>9</v>
      </c>
      <c r="F139" s="143" t="s">
        <v>586</v>
      </c>
      <c r="H139" s="166">
        <f>4234*3</f>
        <v>12702</v>
      </c>
      <c r="L139" s="132"/>
      <c r="M139" s="180"/>
      <c r="T139" s="181"/>
      <c r="AT139" s="128" t="s">
        <v>161</v>
      </c>
      <c r="AU139" s="128" t="s">
        <v>88</v>
      </c>
      <c r="AV139" s="26" t="s">
        <v>88</v>
      </c>
      <c r="AW139" s="26" t="s">
        <v>163</v>
      </c>
      <c r="AX139" s="26" t="s">
        <v>39</v>
      </c>
      <c r="AY139" s="128" t="s">
        <v>126</v>
      </c>
    </row>
    <row r="140" spans="2:65" s="26" customFormat="1" x14ac:dyDescent="0.25">
      <c r="B140" s="132"/>
      <c r="D140" s="179" t="s">
        <v>161</v>
      </c>
      <c r="E140" s="128" t="s">
        <v>9</v>
      </c>
      <c r="F140" s="143" t="s">
        <v>218</v>
      </c>
      <c r="H140" s="166">
        <f>SUM(H139:H139)</f>
        <v>12702</v>
      </c>
      <c r="L140" s="132"/>
      <c r="M140" s="180"/>
      <c r="T140" s="181"/>
      <c r="AT140" s="128" t="s">
        <v>161</v>
      </c>
      <c r="AU140" s="128" t="s">
        <v>88</v>
      </c>
      <c r="AV140" s="26" t="s">
        <v>132</v>
      </c>
      <c r="AW140" s="26" t="s">
        <v>163</v>
      </c>
      <c r="AX140" s="26" t="s">
        <v>42</v>
      </c>
      <c r="AY140" s="128" t="s">
        <v>126</v>
      </c>
    </row>
    <row r="141" spans="2:65" s="26" customFormat="1" ht="16.5" customHeight="1" x14ac:dyDescent="0.25">
      <c r="B141" s="169"/>
      <c r="C141" s="170">
        <v>33</v>
      </c>
      <c r="D141" s="170" t="s">
        <v>129</v>
      </c>
      <c r="E141" s="171" t="s">
        <v>219</v>
      </c>
      <c r="F141" s="172" t="s">
        <v>546</v>
      </c>
      <c r="G141" s="173" t="s">
        <v>136</v>
      </c>
      <c r="H141" s="174">
        <f>H149*0.6</f>
        <v>2952</v>
      </c>
      <c r="I141" s="174"/>
      <c r="J141" s="174">
        <f>ROUND(I141*H141,3)</f>
        <v>0</v>
      </c>
      <c r="K141" s="172" t="s">
        <v>9</v>
      </c>
      <c r="L141" s="132"/>
      <c r="M141" s="175"/>
      <c r="N141" s="176"/>
      <c r="O141" s="177"/>
      <c r="P141" s="177"/>
      <c r="Q141" s="177"/>
      <c r="R141" s="177"/>
      <c r="S141" s="177"/>
      <c r="T141" s="178"/>
      <c r="AR141" s="128" t="s">
        <v>197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197</v>
      </c>
      <c r="BM141" s="128" t="s">
        <v>221</v>
      </c>
    </row>
    <row r="142" spans="2:65" s="26" customFormat="1" ht="16.5" customHeight="1" x14ac:dyDescent="0.25">
      <c r="B142" s="169"/>
      <c r="C142" s="170" t="s">
        <v>587</v>
      </c>
      <c r="D142" s="170" t="s">
        <v>129</v>
      </c>
      <c r="E142" s="171" t="s">
        <v>588</v>
      </c>
      <c r="F142" s="172" t="s">
        <v>589</v>
      </c>
      <c r="G142" s="173" t="s">
        <v>136</v>
      </c>
      <c r="H142" s="174">
        <f>1148*2+311+311</f>
        <v>2918</v>
      </c>
      <c r="I142" s="174"/>
      <c r="J142" s="174">
        <f>ROUND(I142*H142,3)</f>
        <v>0</v>
      </c>
      <c r="K142" s="172"/>
      <c r="L142" s="132"/>
      <c r="M142" s="175"/>
      <c r="N142" s="176"/>
      <c r="O142" s="177"/>
      <c r="P142" s="177"/>
      <c r="Q142" s="177"/>
      <c r="R142" s="177"/>
      <c r="S142" s="177"/>
      <c r="T142" s="178"/>
      <c r="AR142" s="128"/>
      <c r="AT142" s="128"/>
      <c r="AU142" s="128"/>
      <c r="AY142" s="128"/>
      <c r="BE142" s="138"/>
      <c r="BF142" s="138"/>
      <c r="BG142" s="138"/>
      <c r="BH142" s="138"/>
      <c r="BI142" s="138"/>
      <c r="BJ142" s="128"/>
      <c r="BK142" s="166"/>
      <c r="BL142" s="128"/>
      <c r="BM142" s="128"/>
    </row>
    <row r="143" spans="2:65" s="26" customFormat="1" ht="16.5" customHeight="1" x14ac:dyDescent="0.25">
      <c r="B143" s="169"/>
      <c r="C143" s="170"/>
      <c r="D143" s="170"/>
      <c r="E143" s="171"/>
      <c r="F143" s="172" t="s">
        <v>590</v>
      </c>
      <c r="G143" s="173"/>
      <c r="H143" s="174"/>
      <c r="I143" s="174"/>
      <c r="J143" s="174"/>
      <c r="K143" s="172"/>
      <c r="L143" s="132"/>
      <c r="M143" s="175"/>
      <c r="N143" s="176"/>
      <c r="O143" s="177"/>
      <c r="P143" s="177"/>
      <c r="Q143" s="177"/>
      <c r="R143" s="177"/>
      <c r="S143" s="177"/>
      <c r="T143" s="178"/>
      <c r="AR143" s="128"/>
      <c r="AT143" s="128"/>
      <c r="AU143" s="128"/>
      <c r="AY143" s="128"/>
      <c r="BE143" s="138"/>
      <c r="BF143" s="138"/>
      <c r="BG143" s="138"/>
      <c r="BH143" s="138"/>
      <c r="BI143" s="138"/>
      <c r="BJ143" s="128"/>
      <c r="BK143" s="166"/>
      <c r="BL143" s="128"/>
      <c r="BM143" s="128"/>
    </row>
    <row r="144" spans="2:65" s="26" customFormat="1" ht="16.5" customHeight="1" x14ac:dyDescent="0.25">
      <c r="B144" s="169"/>
      <c r="C144" s="170"/>
      <c r="D144" s="170"/>
      <c r="E144" s="171"/>
      <c r="F144" s="172" t="s">
        <v>591</v>
      </c>
      <c r="G144" s="173"/>
      <c r="H144" s="174"/>
      <c r="I144" s="174"/>
      <c r="J144" s="174"/>
      <c r="K144" s="172"/>
      <c r="L144" s="132"/>
      <c r="M144" s="175"/>
      <c r="N144" s="176"/>
      <c r="O144" s="177"/>
      <c r="P144" s="177"/>
      <c r="Q144" s="177"/>
      <c r="R144" s="177"/>
      <c r="S144" s="177"/>
      <c r="T144" s="178"/>
      <c r="AR144" s="128"/>
      <c r="AT144" s="128"/>
      <c r="AU144" s="128"/>
      <c r="AY144" s="128"/>
      <c r="BE144" s="138"/>
      <c r="BF144" s="138"/>
      <c r="BG144" s="138"/>
      <c r="BH144" s="138"/>
      <c r="BI144" s="138"/>
      <c r="BJ144" s="128"/>
      <c r="BK144" s="166"/>
      <c r="BL144" s="128"/>
      <c r="BM144" s="128"/>
    </row>
    <row r="145" spans="2:65" s="26" customFormat="1" ht="16.5" customHeight="1" x14ac:dyDescent="0.25">
      <c r="B145" s="169"/>
      <c r="C145" s="170"/>
      <c r="D145" s="170"/>
      <c r="E145" s="171"/>
      <c r="F145" s="172" t="s">
        <v>592</v>
      </c>
      <c r="G145" s="173"/>
      <c r="H145" s="174"/>
      <c r="I145" s="174"/>
      <c r="J145" s="174"/>
      <c r="K145" s="172"/>
      <c r="L145" s="132"/>
      <c r="M145" s="175"/>
      <c r="N145" s="176"/>
      <c r="O145" s="177"/>
      <c r="P145" s="177"/>
      <c r="Q145" s="177"/>
      <c r="R145" s="177"/>
      <c r="S145" s="177"/>
      <c r="T145" s="178"/>
      <c r="AR145" s="128"/>
      <c r="AT145" s="128"/>
      <c r="AU145" s="128"/>
      <c r="AY145" s="128"/>
      <c r="BE145" s="138"/>
      <c r="BF145" s="138"/>
      <c r="BG145" s="138"/>
      <c r="BH145" s="138"/>
      <c r="BI145" s="138"/>
      <c r="BJ145" s="128"/>
      <c r="BK145" s="166"/>
      <c r="BL145" s="128"/>
      <c r="BM145" s="128"/>
    </row>
    <row r="146" spans="2:65" s="26" customFormat="1" ht="24" customHeight="1" x14ac:dyDescent="0.25">
      <c r="B146" s="169"/>
      <c r="C146" s="170" t="s">
        <v>593</v>
      </c>
      <c r="D146" s="170" t="s">
        <v>129</v>
      </c>
      <c r="E146" s="171" t="s">
        <v>594</v>
      </c>
      <c r="F146" s="172" t="s">
        <v>595</v>
      </c>
      <c r="G146" s="173" t="s">
        <v>136</v>
      </c>
      <c r="H146" s="174">
        <v>1148</v>
      </c>
      <c r="I146" s="174"/>
      <c r="J146" s="174">
        <f>ROUND(I146*H146,3)</f>
        <v>0</v>
      </c>
      <c r="K146" s="172"/>
      <c r="L146" s="132"/>
      <c r="M146" s="175"/>
      <c r="N146" s="176"/>
      <c r="O146" s="177"/>
      <c r="P146" s="177"/>
      <c r="Q146" s="177"/>
      <c r="R146" s="177"/>
      <c r="S146" s="177"/>
      <c r="T146" s="178"/>
      <c r="AR146" s="128"/>
      <c r="AT146" s="128"/>
      <c r="AU146" s="128"/>
      <c r="AY146" s="128"/>
      <c r="BE146" s="138"/>
      <c r="BF146" s="138"/>
      <c r="BG146" s="138"/>
      <c r="BH146" s="138"/>
      <c r="BI146" s="138"/>
      <c r="BJ146" s="128"/>
      <c r="BK146" s="166"/>
      <c r="BL146" s="128"/>
      <c r="BM146" s="128"/>
    </row>
    <row r="147" spans="2:65" s="26" customFormat="1" ht="24" customHeight="1" x14ac:dyDescent="0.25">
      <c r="B147" s="169"/>
      <c r="C147" s="170" t="s">
        <v>596</v>
      </c>
      <c r="D147" s="170" t="s">
        <v>129</v>
      </c>
      <c r="E147" s="171" t="s">
        <v>594</v>
      </c>
      <c r="F147" s="172" t="s">
        <v>597</v>
      </c>
      <c r="G147" s="173" t="s">
        <v>136</v>
      </c>
      <c r="H147" s="174">
        <v>311</v>
      </c>
      <c r="I147" s="174"/>
      <c r="J147" s="174">
        <f>ROUND(I147*H147,3)</f>
        <v>0</v>
      </c>
      <c r="K147" s="172"/>
      <c r="L147" s="132"/>
      <c r="M147" s="175"/>
      <c r="N147" s="176"/>
      <c r="O147" s="177"/>
      <c r="P147" s="177"/>
      <c r="Q147" s="177"/>
      <c r="R147" s="177"/>
      <c r="S147" s="177"/>
      <c r="T147" s="178"/>
      <c r="AR147" s="128"/>
      <c r="AT147" s="128"/>
      <c r="AU147" s="128"/>
      <c r="AY147" s="128"/>
      <c r="BE147" s="138"/>
      <c r="BF147" s="138"/>
      <c r="BG147" s="138"/>
      <c r="BH147" s="138"/>
      <c r="BI147" s="138"/>
      <c r="BJ147" s="128"/>
      <c r="BK147" s="166"/>
      <c r="BL147" s="128"/>
      <c r="BM147" s="128"/>
    </row>
    <row r="148" spans="2:65" s="26" customFormat="1" ht="24" customHeight="1" x14ac:dyDescent="0.25">
      <c r="B148" s="169"/>
      <c r="C148" s="170" t="s">
        <v>598</v>
      </c>
      <c r="D148" s="170" t="s">
        <v>129</v>
      </c>
      <c r="E148" s="171" t="s">
        <v>594</v>
      </c>
      <c r="F148" s="172" t="s">
        <v>599</v>
      </c>
      <c r="G148" s="173" t="s">
        <v>136</v>
      </c>
      <c r="H148" s="174">
        <v>311</v>
      </c>
      <c r="I148" s="174"/>
      <c r="J148" s="174">
        <f>ROUND(I148*H148,3)</f>
        <v>0</v>
      </c>
      <c r="K148" s="172"/>
      <c r="L148" s="132"/>
      <c r="M148" s="175"/>
      <c r="N148" s="176"/>
      <c r="O148" s="177"/>
      <c r="P148" s="177"/>
      <c r="Q148" s="177"/>
      <c r="R148" s="177"/>
      <c r="S148" s="177"/>
      <c r="T148" s="178"/>
      <c r="AR148" s="128"/>
      <c r="AT148" s="128"/>
      <c r="AU148" s="128"/>
      <c r="AY148" s="128"/>
      <c r="BE148" s="138"/>
      <c r="BF148" s="138"/>
      <c r="BG148" s="138"/>
      <c r="BH148" s="138"/>
      <c r="BI148" s="138"/>
      <c r="BJ148" s="128"/>
      <c r="BK148" s="166"/>
      <c r="BL148" s="128"/>
      <c r="BM148" s="128"/>
    </row>
    <row r="149" spans="2:65" s="26" customFormat="1" ht="16.5" customHeight="1" x14ac:dyDescent="0.25">
      <c r="B149" s="169"/>
      <c r="C149" s="170">
        <v>34</v>
      </c>
      <c r="D149" s="170" t="s">
        <v>129</v>
      </c>
      <c r="E149" s="171" t="s">
        <v>219</v>
      </c>
      <c r="F149" s="172" t="s">
        <v>222</v>
      </c>
      <c r="G149" s="173" t="s">
        <v>136</v>
      </c>
      <c r="H149" s="174">
        <v>4920</v>
      </c>
      <c r="I149" s="174"/>
      <c r="J149" s="174">
        <f>ROUND(I149*H149,3)</f>
        <v>0</v>
      </c>
      <c r="K149" s="172" t="s">
        <v>9</v>
      </c>
      <c r="L149" s="132"/>
      <c r="M149" s="175"/>
      <c r="N149" s="176"/>
      <c r="O149" s="177"/>
      <c r="P149" s="177"/>
      <c r="Q149" s="177"/>
      <c r="R149" s="177"/>
      <c r="S149" s="177"/>
      <c r="T149" s="178"/>
      <c r="AR149" s="128" t="s">
        <v>197</v>
      </c>
      <c r="AT149" s="128" t="s">
        <v>129</v>
      </c>
      <c r="AU149" s="128" t="s">
        <v>88</v>
      </c>
      <c r="AY149" s="128" t="s">
        <v>126</v>
      </c>
      <c r="BE149" s="138">
        <f>IF(N149="základná",J149,0)</f>
        <v>0</v>
      </c>
      <c r="BF149" s="138">
        <f>IF(N149="znížená",J149,0)</f>
        <v>0</v>
      </c>
      <c r="BG149" s="138">
        <f>IF(N149="zákl. prenesená",J149,0)</f>
        <v>0</v>
      </c>
      <c r="BH149" s="138">
        <f>IF(N149="zníž. prenesená",J149,0)</f>
        <v>0</v>
      </c>
      <c r="BI149" s="138">
        <f>IF(N149="nulová",J149,0)</f>
        <v>0</v>
      </c>
      <c r="BJ149" s="128" t="s">
        <v>88</v>
      </c>
      <c r="BK149" s="166">
        <f>ROUND(I149*H149,3)</f>
        <v>0</v>
      </c>
      <c r="BL149" s="128" t="s">
        <v>197</v>
      </c>
      <c r="BM149" s="128" t="s">
        <v>221</v>
      </c>
    </row>
    <row r="150" spans="2:65" s="158" customFormat="1" ht="22.9" customHeight="1" x14ac:dyDescent="0.2">
      <c r="B150" s="157"/>
      <c r="D150" s="159" t="s">
        <v>123</v>
      </c>
      <c r="E150" s="167" t="s">
        <v>223</v>
      </c>
      <c r="F150" s="167" t="s">
        <v>224</v>
      </c>
      <c r="J150" s="168">
        <f>SUM(J151:J154)</f>
        <v>0</v>
      </c>
      <c r="L150" s="157"/>
      <c r="M150" s="162"/>
      <c r="P150" s="163"/>
      <c r="R150" s="163"/>
      <c r="T150" s="164"/>
      <c r="AR150" s="159" t="s">
        <v>88</v>
      </c>
      <c r="AT150" s="165" t="s">
        <v>123</v>
      </c>
      <c r="AU150" s="165" t="s">
        <v>42</v>
      </c>
      <c r="AY150" s="159" t="s">
        <v>126</v>
      </c>
      <c r="BK150" s="166">
        <f>SUM(BK151:BK154)</f>
        <v>0</v>
      </c>
    </row>
    <row r="151" spans="2:65" s="26" customFormat="1" ht="16.5" customHeight="1" x14ac:dyDescent="0.25">
      <c r="B151" s="169"/>
      <c r="C151" s="170">
        <v>35</v>
      </c>
      <c r="D151" s="170" t="s">
        <v>129</v>
      </c>
      <c r="E151" s="171" t="s">
        <v>225</v>
      </c>
      <c r="F151" s="172" t="s">
        <v>226</v>
      </c>
      <c r="G151" s="173" t="s">
        <v>205</v>
      </c>
      <c r="H151" s="174">
        <v>27</v>
      </c>
      <c r="I151" s="174"/>
      <c r="J151" s="174">
        <f>ROUND(I151*H151,3)</f>
        <v>0</v>
      </c>
      <c r="K151" s="172" t="s">
        <v>9</v>
      </c>
      <c r="L151" s="132"/>
      <c r="M151" s="175"/>
      <c r="N151" s="176"/>
      <c r="O151" s="177"/>
      <c r="P151" s="177"/>
      <c r="Q151" s="177"/>
      <c r="R151" s="177"/>
      <c r="S151" s="177"/>
      <c r="T151" s="178"/>
      <c r="AR151" s="128" t="s">
        <v>197</v>
      </c>
      <c r="AT151" s="128" t="s">
        <v>129</v>
      </c>
      <c r="AU151" s="128" t="s">
        <v>88</v>
      </c>
      <c r="AY151" s="128" t="s">
        <v>126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28" t="s">
        <v>88</v>
      </c>
      <c r="BK151" s="166">
        <f>ROUND(I151*H151,3)</f>
        <v>0</v>
      </c>
      <c r="BL151" s="128" t="s">
        <v>197</v>
      </c>
      <c r="BM151" s="128" t="s">
        <v>227</v>
      </c>
    </row>
    <row r="152" spans="2:65" s="26" customFormat="1" ht="16.5" customHeight="1" x14ac:dyDescent="0.25">
      <c r="B152" s="169"/>
      <c r="C152" s="170">
        <v>36</v>
      </c>
      <c r="D152" s="170" t="s">
        <v>129</v>
      </c>
      <c r="E152" s="171" t="s">
        <v>228</v>
      </c>
      <c r="F152" s="172" t="s">
        <v>229</v>
      </c>
      <c r="G152" s="173" t="s">
        <v>230</v>
      </c>
      <c r="H152" s="174">
        <v>190.3</v>
      </c>
      <c r="I152" s="174"/>
      <c r="J152" s="174">
        <f>ROUND(I152*H152,3)</f>
        <v>0</v>
      </c>
      <c r="K152" s="172" t="s">
        <v>9</v>
      </c>
      <c r="L152" s="132"/>
      <c r="M152" s="175"/>
      <c r="N152" s="176"/>
      <c r="O152" s="177"/>
      <c r="P152" s="177"/>
      <c r="Q152" s="177"/>
      <c r="R152" s="177"/>
      <c r="S152" s="177"/>
      <c r="T152" s="178"/>
      <c r="AR152" s="128" t="s">
        <v>197</v>
      </c>
      <c r="AT152" s="128" t="s">
        <v>129</v>
      </c>
      <c r="AU152" s="128" t="s">
        <v>88</v>
      </c>
      <c r="AY152" s="128" t="s">
        <v>126</v>
      </c>
      <c r="BE152" s="138">
        <f>IF(N152="základná",J152,0)</f>
        <v>0</v>
      </c>
      <c r="BF152" s="138">
        <f>IF(N152="znížená",J152,0)</f>
        <v>0</v>
      </c>
      <c r="BG152" s="138">
        <f>IF(N152="zákl. prenesená",J152,0)</f>
        <v>0</v>
      </c>
      <c r="BH152" s="138">
        <f>IF(N152="zníž. prenesená",J152,0)</f>
        <v>0</v>
      </c>
      <c r="BI152" s="138">
        <f>IF(N152="nulová",J152,0)</f>
        <v>0</v>
      </c>
      <c r="BJ152" s="128" t="s">
        <v>88</v>
      </c>
      <c r="BK152" s="166">
        <f>ROUND(I152*H152,3)</f>
        <v>0</v>
      </c>
      <c r="BL152" s="128" t="s">
        <v>197</v>
      </c>
      <c r="BM152" s="128" t="s">
        <v>231</v>
      </c>
    </row>
    <row r="153" spans="2:65" s="26" customFormat="1" ht="16.5" customHeight="1" x14ac:dyDescent="0.25">
      <c r="B153" s="169"/>
      <c r="C153" s="170">
        <v>37</v>
      </c>
      <c r="D153" s="170" t="s">
        <v>129</v>
      </c>
      <c r="E153" s="171" t="s">
        <v>232</v>
      </c>
      <c r="F153" s="172" t="s">
        <v>233</v>
      </c>
      <c r="G153" s="173" t="s">
        <v>234</v>
      </c>
      <c r="H153" s="174">
        <v>760</v>
      </c>
      <c r="I153" s="174"/>
      <c r="J153" s="174">
        <f>ROUND(I153*H153,3)</f>
        <v>0</v>
      </c>
      <c r="K153" s="172" t="s">
        <v>9</v>
      </c>
      <c r="L153" s="132"/>
      <c r="M153" s="175"/>
      <c r="N153" s="176"/>
      <c r="O153" s="177"/>
      <c r="P153" s="177"/>
      <c r="Q153" s="177"/>
      <c r="R153" s="177"/>
      <c r="S153" s="177"/>
      <c r="T153" s="178"/>
      <c r="AR153" s="128" t="s">
        <v>197</v>
      </c>
      <c r="AT153" s="128" t="s">
        <v>129</v>
      </c>
      <c r="AU153" s="128" t="s">
        <v>88</v>
      </c>
      <c r="AY153" s="128" t="s">
        <v>126</v>
      </c>
      <c r="BE153" s="138">
        <f>IF(N153="základná",J153,0)</f>
        <v>0</v>
      </c>
      <c r="BF153" s="138">
        <f>IF(N153="znížená",J153,0)</f>
        <v>0</v>
      </c>
      <c r="BG153" s="138">
        <f>IF(N153="zákl. prenesená",J153,0)</f>
        <v>0</v>
      </c>
      <c r="BH153" s="138">
        <f>IF(N153="zníž. prenesená",J153,0)</f>
        <v>0</v>
      </c>
      <c r="BI153" s="138">
        <f>IF(N153="nulová",J153,0)</f>
        <v>0</v>
      </c>
      <c r="BJ153" s="128" t="s">
        <v>88</v>
      </c>
      <c r="BK153" s="166">
        <f>ROUND(I153*H153,3)</f>
        <v>0</v>
      </c>
      <c r="BL153" s="128" t="s">
        <v>197</v>
      </c>
      <c r="BM153" s="128" t="s">
        <v>235</v>
      </c>
    </row>
    <row r="154" spans="2:65" s="26" customFormat="1" ht="16.5" customHeight="1" x14ac:dyDescent="0.25">
      <c r="B154" s="169"/>
      <c r="C154" s="170">
        <v>38</v>
      </c>
      <c r="D154" s="170" t="s">
        <v>129</v>
      </c>
      <c r="E154" s="171" t="s">
        <v>239</v>
      </c>
      <c r="F154" s="172" t="s">
        <v>240</v>
      </c>
      <c r="G154" s="173" t="s">
        <v>205</v>
      </c>
      <c r="H154" s="174">
        <v>35</v>
      </c>
      <c r="I154" s="174"/>
      <c r="J154" s="174">
        <f>ROUND(I154*H154,3)</f>
        <v>0</v>
      </c>
      <c r="K154" s="172" t="s">
        <v>9</v>
      </c>
      <c r="L154" s="132"/>
      <c r="M154" s="175"/>
      <c r="N154" s="176"/>
      <c r="O154" s="177"/>
      <c r="P154" s="177"/>
      <c r="Q154" s="177"/>
      <c r="R154" s="177"/>
      <c r="S154" s="177"/>
      <c r="T154" s="178"/>
      <c r="AR154" s="128" t="s">
        <v>197</v>
      </c>
      <c r="AT154" s="128" t="s">
        <v>129</v>
      </c>
      <c r="AU154" s="128" t="s">
        <v>88</v>
      </c>
      <c r="AY154" s="128" t="s">
        <v>126</v>
      </c>
      <c r="BE154" s="138">
        <f>IF(N154="základná",J154,0)</f>
        <v>0</v>
      </c>
      <c r="BF154" s="138">
        <f>IF(N154="znížená",J154,0)</f>
        <v>0</v>
      </c>
      <c r="BG154" s="138">
        <f>IF(N154="zákl. prenesená",J154,0)</f>
        <v>0</v>
      </c>
      <c r="BH154" s="138">
        <f>IF(N154="zníž. prenesená",J154,0)</f>
        <v>0</v>
      </c>
      <c r="BI154" s="138">
        <f>IF(N154="nulová",J154,0)</f>
        <v>0</v>
      </c>
      <c r="BJ154" s="128" t="s">
        <v>88</v>
      </c>
      <c r="BK154" s="166">
        <f>ROUND(I154*H154,3)</f>
        <v>0</v>
      </c>
      <c r="BL154" s="128" t="s">
        <v>197</v>
      </c>
      <c r="BM154" s="128" t="s">
        <v>241</v>
      </c>
    </row>
    <row r="155" spans="2:65" s="158" customFormat="1" ht="22.9" customHeight="1" x14ac:dyDescent="0.2">
      <c r="B155" s="157"/>
      <c r="D155" s="159" t="s">
        <v>123</v>
      </c>
      <c r="E155" s="167" t="s">
        <v>242</v>
      </c>
      <c r="F155" s="167" t="s">
        <v>243</v>
      </c>
      <c r="J155" s="168">
        <f>SUM(J156)</f>
        <v>0</v>
      </c>
      <c r="L155" s="157"/>
      <c r="M155" s="162"/>
      <c r="P155" s="163"/>
      <c r="R155" s="163"/>
      <c r="T155" s="164"/>
      <c r="AR155" s="159" t="s">
        <v>88</v>
      </c>
      <c r="AT155" s="165" t="s">
        <v>123</v>
      </c>
      <c r="AU155" s="165" t="s">
        <v>42</v>
      </c>
      <c r="AY155" s="159" t="s">
        <v>126</v>
      </c>
      <c r="BK155" s="166">
        <f>BK156</f>
        <v>0</v>
      </c>
    </row>
    <row r="156" spans="2:65" s="26" customFormat="1" ht="16.5" customHeight="1" x14ac:dyDescent="0.25">
      <c r="B156" s="169"/>
      <c r="C156" s="170">
        <v>39</v>
      </c>
      <c r="D156" s="170" t="s">
        <v>129</v>
      </c>
      <c r="E156" s="171" t="s">
        <v>244</v>
      </c>
      <c r="F156" s="172" t="s">
        <v>245</v>
      </c>
      <c r="G156" s="173" t="s">
        <v>86</v>
      </c>
      <c r="H156" s="174">
        <v>220</v>
      </c>
      <c r="I156" s="174"/>
      <c r="J156" s="174">
        <f>ROUND(I156*H156,3)</f>
        <v>0</v>
      </c>
      <c r="K156" s="172" t="s">
        <v>156</v>
      </c>
      <c r="L156" s="132"/>
      <c r="M156" s="183"/>
      <c r="N156" s="184"/>
      <c r="O156" s="185"/>
      <c r="P156" s="185"/>
      <c r="Q156" s="185"/>
      <c r="R156" s="185"/>
      <c r="S156" s="185"/>
      <c r="T156" s="186"/>
      <c r="AR156" s="128" t="s">
        <v>197</v>
      </c>
      <c r="AT156" s="128" t="s">
        <v>129</v>
      </c>
      <c r="AU156" s="128" t="s">
        <v>88</v>
      </c>
      <c r="AY156" s="128" t="s">
        <v>126</v>
      </c>
      <c r="BE156" s="138">
        <f>IF(N156="základná",J156,0)</f>
        <v>0</v>
      </c>
      <c r="BF156" s="138">
        <f>IF(N156="znížená",J156,0)</f>
        <v>0</v>
      </c>
      <c r="BG156" s="138">
        <f>IF(N156="zákl. prenesená",J156,0)</f>
        <v>0</v>
      </c>
      <c r="BH156" s="138">
        <f>IF(N156="zníž. prenesená",J156,0)</f>
        <v>0</v>
      </c>
      <c r="BI156" s="138">
        <f>IF(N156="nulová",J156,0)</f>
        <v>0</v>
      </c>
      <c r="BJ156" s="128" t="s">
        <v>88</v>
      </c>
      <c r="BK156" s="166">
        <f>ROUND(I156*H156,3)</f>
        <v>0</v>
      </c>
      <c r="BL156" s="128" t="s">
        <v>197</v>
      </c>
      <c r="BM156" s="128" t="s">
        <v>246</v>
      </c>
    </row>
    <row r="157" spans="2:65" s="26" customFormat="1" ht="6.95" customHeight="1" x14ac:dyDescent="0.25">
      <c r="B157" s="141"/>
      <c r="C157" s="36"/>
      <c r="D157" s="36"/>
      <c r="E157" s="36"/>
      <c r="F157" s="36"/>
      <c r="G157" s="36"/>
      <c r="H157" s="36"/>
      <c r="I157" s="36"/>
      <c r="J157" s="36"/>
      <c r="K157" s="36"/>
      <c r="L157" s="132"/>
    </row>
  </sheetData>
  <mergeCells count="10">
    <mergeCell ref="E50:H50"/>
    <mergeCell ref="E76:H76"/>
    <mergeCell ref="E78:H78"/>
    <mergeCell ref="L92:L102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topLeftCell="A82" workbookViewId="0">
      <selection activeCell="I92" sqref="I92:I157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71</v>
      </c>
      <c r="AZ2" s="128" t="s">
        <v>247</v>
      </c>
      <c r="BA2" s="128" t="s">
        <v>248</v>
      </c>
      <c r="BB2" s="128" t="s">
        <v>9</v>
      </c>
      <c r="BC2" s="128" t="s">
        <v>600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612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ROUND((SUM(BE89:BE147)),  2)</f>
        <v>0</v>
      </c>
      <c r="I33" s="139">
        <v>0.2</v>
      </c>
      <c r="J33" s="138">
        <f>ROUND(((SUM(BE89:BE147))*I33),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ROUND((SUM(BF89:BF147)),  2)</f>
        <v>0</v>
      </c>
      <c r="I34" s="139">
        <v>0.2</v>
      </c>
      <c r="J34" s="138">
        <f>ROUND(((SUM(BF89:BF147))*I34),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ROUND((SUM(BG89:BG147)),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ROUND((SUM(BH89:BH147)),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ROUND((SUM(BI89:BI147)),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I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J98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J101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J118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J125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J137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J145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J146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601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J90+J100+J145+J149</f>
        <v>0</v>
      </c>
      <c r="L89" s="132"/>
      <c r="M89" s="153"/>
      <c r="N89" s="134"/>
      <c r="O89" s="134"/>
      <c r="P89" s="154">
        <f>P90+P100+P145</f>
        <v>5107.2659392000005</v>
      </c>
      <c r="Q89" s="134"/>
      <c r="R89" s="154">
        <f>R90+R100+R145</f>
        <v>131.02915526125003</v>
      </c>
      <c r="S89" s="134"/>
      <c r="T89" s="155">
        <f>T90+T100+T145</f>
        <v>0</v>
      </c>
      <c r="AT89" s="128" t="s">
        <v>123</v>
      </c>
      <c r="AU89" s="128" t="s">
        <v>101</v>
      </c>
      <c r="BK89" s="156">
        <f>BK90+BK100+BK145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J91+J98</f>
        <v>0</v>
      </c>
      <c r="L90" s="157"/>
      <c r="M90" s="162"/>
      <c r="P90" s="163">
        <f>P91+P98</f>
        <v>747.75639600000011</v>
      </c>
      <c r="R90" s="163">
        <f>R91+R98</f>
        <v>48.788309420000004</v>
      </c>
      <c r="T90" s="164">
        <f>T91+T98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BK91+BK98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SUM(J92:J96)</f>
        <v>0</v>
      </c>
      <c r="L91" s="157"/>
      <c r="M91" s="162"/>
      <c r="P91" s="163">
        <f>SUM(P92:P97)</f>
        <v>737.14091600000006</v>
      </c>
      <c r="R91" s="163">
        <f>SUM(R92:R97)</f>
        <v>48.788309420000004</v>
      </c>
      <c r="T91" s="164">
        <f>SUM(T92:T97)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SUM(BK92:BK97)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34.6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11.002800000000001</v>
      </c>
      <c r="Q92" s="177">
        <v>4.0899999999999999E-3</v>
      </c>
      <c r="R92" s="177">
        <f>Q92*H92</f>
        <v>0.141514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259</v>
      </c>
      <c r="G93" s="173" t="s">
        <v>136</v>
      </c>
      <c r="H93" s="174">
        <v>311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0.34309000000000001</v>
      </c>
      <c r="P93" s="177">
        <f>O93*H93</f>
        <v>106.70099</v>
      </c>
      <c r="Q93" s="177">
        <v>4.4000000000000002E-4</v>
      </c>
      <c r="R93" s="177">
        <f>Q93*H93</f>
        <v>0.13684000000000002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260</v>
      </c>
    </row>
    <row r="94" spans="2:65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263</v>
      </c>
      <c r="G94" s="190" t="s">
        <v>205</v>
      </c>
      <c r="H94" s="191">
        <f>H93/0.16</f>
        <v>1943.75</v>
      </c>
      <c r="I94" s="191"/>
      <c r="J94" s="191">
        <f>ROUND(I94*H94,3)</f>
        <v>0</v>
      </c>
      <c r="K94" s="189" t="s">
        <v>156</v>
      </c>
      <c r="L94" s="199"/>
      <c r="M94" s="200" t="s">
        <v>9</v>
      </c>
      <c r="N94" s="201" t="s">
        <v>27</v>
      </c>
      <c r="O94" s="177">
        <v>0</v>
      </c>
      <c r="P94" s="177">
        <f>O94*H94</f>
        <v>0</v>
      </c>
      <c r="Q94" s="177">
        <v>1.4999999999999999E-2</v>
      </c>
      <c r="R94" s="177">
        <f>Q94*H94</f>
        <v>29.15625</v>
      </c>
      <c r="S94" s="177">
        <v>0</v>
      </c>
      <c r="T94" s="178">
        <f>S94*H94</f>
        <v>0</v>
      </c>
      <c r="AR94" s="128" t="s">
        <v>264</v>
      </c>
      <c r="AT94" s="128" t="s">
        <v>261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265</v>
      </c>
    </row>
    <row r="95" spans="2:65" s="26" customFormat="1" x14ac:dyDescent="0.25">
      <c r="B95" s="132"/>
      <c r="D95" s="179" t="s">
        <v>161</v>
      </c>
      <c r="E95" s="128" t="s">
        <v>9</v>
      </c>
      <c r="F95" s="189" t="s">
        <v>269</v>
      </c>
      <c r="G95" s="173" t="s">
        <v>136</v>
      </c>
      <c r="H95" s="174">
        <v>311</v>
      </c>
      <c r="I95" s="174"/>
      <c r="J95" s="174">
        <f>ROUND(I95*H95,3)</f>
        <v>0</v>
      </c>
      <c r="L95" s="132"/>
      <c r="M95" s="180"/>
      <c r="T95" s="181"/>
      <c r="AT95" s="128" t="s">
        <v>161</v>
      </c>
      <c r="AU95" s="128" t="s">
        <v>88</v>
      </c>
      <c r="AV95" s="26" t="s">
        <v>42</v>
      </c>
      <c r="AW95" s="26" t="s">
        <v>163</v>
      </c>
      <c r="AX95" s="26" t="s">
        <v>39</v>
      </c>
      <c r="AY95" s="128" t="s">
        <v>126</v>
      </c>
    </row>
    <row r="96" spans="2:65" s="26" customFormat="1" ht="16.5" customHeight="1" x14ac:dyDescent="0.25">
      <c r="B96" s="169"/>
      <c r="C96" s="170">
        <v>4</v>
      </c>
      <c r="D96" s="170" t="s">
        <v>129</v>
      </c>
      <c r="E96" s="171" t="s">
        <v>272</v>
      </c>
      <c r="F96" s="172" t="s">
        <v>423</v>
      </c>
      <c r="G96" s="173" t="s">
        <v>136</v>
      </c>
      <c r="H96" s="174">
        <f>H107*0.7</f>
        <v>2963.8140000000003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0.20899999999999999</v>
      </c>
      <c r="P96" s="177">
        <f>O96*H96</f>
        <v>619.43712600000003</v>
      </c>
      <c r="Q96" s="177">
        <v>6.5300000000000002E-3</v>
      </c>
      <c r="R96" s="177">
        <f>Q96*H96</f>
        <v>19.353705420000004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274</v>
      </c>
    </row>
    <row r="97" spans="2:65" s="26" customFormat="1" x14ac:dyDescent="0.25">
      <c r="B97" s="132"/>
      <c r="D97" s="179" t="s">
        <v>161</v>
      </c>
      <c r="E97" s="128" t="s">
        <v>9</v>
      </c>
      <c r="F97" s="143" t="s">
        <v>275</v>
      </c>
      <c r="H97" s="166"/>
      <c r="L97" s="132"/>
      <c r="M97" s="180"/>
      <c r="T97" s="181"/>
      <c r="AT97" s="128" t="s">
        <v>161</v>
      </c>
      <c r="AU97" s="128" t="s">
        <v>88</v>
      </c>
      <c r="AV97" s="26" t="s">
        <v>88</v>
      </c>
      <c r="AW97" s="26" t="s">
        <v>163</v>
      </c>
      <c r="AX97" s="26" t="s">
        <v>42</v>
      </c>
      <c r="AY97" s="128" t="s">
        <v>126</v>
      </c>
    </row>
    <row r="98" spans="2:65" s="158" customFormat="1" ht="22.9" customHeight="1" x14ac:dyDescent="0.2">
      <c r="B98" s="157"/>
      <c r="D98" s="159" t="s">
        <v>123</v>
      </c>
      <c r="E98" s="167" t="s">
        <v>276</v>
      </c>
      <c r="F98" s="167" t="s">
        <v>277</v>
      </c>
      <c r="J98" s="168">
        <f>SUM(J99)</f>
        <v>0</v>
      </c>
      <c r="L98" s="157"/>
      <c r="M98" s="162"/>
      <c r="P98" s="163">
        <f>P99</f>
        <v>10.615480000000002</v>
      </c>
      <c r="R98" s="163">
        <f>R99</f>
        <v>0</v>
      </c>
      <c r="T98" s="164">
        <f>T99</f>
        <v>0</v>
      </c>
      <c r="AR98" s="159" t="s">
        <v>42</v>
      </c>
      <c r="AT98" s="165" t="s">
        <v>123</v>
      </c>
      <c r="AU98" s="165" t="s">
        <v>42</v>
      </c>
      <c r="AY98" s="159" t="s">
        <v>126</v>
      </c>
      <c r="BK98" s="166">
        <f>BK99</f>
        <v>0</v>
      </c>
    </row>
    <row r="99" spans="2:65" s="26" customFormat="1" ht="16.5" customHeight="1" x14ac:dyDescent="0.25">
      <c r="B99" s="169"/>
      <c r="C99" s="170">
        <v>5</v>
      </c>
      <c r="D99" s="170" t="s">
        <v>129</v>
      </c>
      <c r="E99" s="171" t="s">
        <v>278</v>
      </c>
      <c r="F99" s="172" t="s">
        <v>279</v>
      </c>
      <c r="G99" s="173" t="s">
        <v>146</v>
      </c>
      <c r="H99" s="174">
        <v>31.222000000000001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0.34</v>
      </c>
      <c r="P99" s="177">
        <f>O99*H99</f>
        <v>10.615480000000002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280</v>
      </c>
    </row>
    <row r="100" spans="2:65" s="158" customFormat="1" ht="25.9" customHeight="1" x14ac:dyDescent="0.2">
      <c r="B100" s="157"/>
      <c r="D100" s="159" t="s">
        <v>123</v>
      </c>
      <c r="E100" s="160" t="s">
        <v>191</v>
      </c>
      <c r="F100" s="160" t="s">
        <v>192</v>
      </c>
      <c r="J100" s="161">
        <f>J101+J125+J118+J140+J137</f>
        <v>0</v>
      </c>
      <c r="L100" s="157"/>
      <c r="M100" s="162"/>
      <c r="P100" s="163">
        <f>P101+P118+P125+P137</f>
        <v>4359.3595432000011</v>
      </c>
      <c r="R100" s="163">
        <f>R101+R118+R125+R137</f>
        <v>82.240845841250007</v>
      </c>
      <c r="T100" s="164">
        <f>T101+T118+T125+T137</f>
        <v>0</v>
      </c>
      <c r="AR100" s="159" t="s">
        <v>88</v>
      </c>
      <c r="AT100" s="165" t="s">
        <v>123</v>
      </c>
      <c r="AU100" s="165" t="s">
        <v>39</v>
      </c>
      <c r="AY100" s="159" t="s">
        <v>126</v>
      </c>
      <c r="BK100" s="166">
        <f>BK101+BK118+BK125+BK137</f>
        <v>0</v>
      </c>
    </row>
    <row r="101" spans="2:65" s="158" customFormat="1" ht="22.9" customHeight="1" x14ac:dyDescent="0.2">
      <c r="B101" s="157"/>
      <c r="D101" s="159" t="s">
        <v>123</v>
      </c>
      <c r="E101" s="167" t="s">
        <v>193</v>
      </c>
      <c r="F101" s="167" t="s">
        <v>194</v>
      </c>
      <c r="J101" s="168">
        <f>SUM(J102:J117)</f>
        <v>0</v>
      </c>
      <c r="L101" s="157"/>
      <c r="M101" s="162"/>
      <c r="P101" s="163">
        <f>SUM(P102:P117)</f>
        <v>2576.3015042000002</v>
      </c>
      <c r="R101" s="163">
        <f>SUM(R102:R117)</f>
        <v>66.726530800000006</v>
      </c>
      <c r="T101" s="164">
        <f>SUM(T102:T117)</f>
        <v>0</v>
      </c>
      <c r="AR101" s="159" t="s">
        <v>88</v>
      </c>
      <c r="AT101" s="165" t="s">
        <v>123</v>
      </c>
      <c r="AU101" s="165" t="s">
        <v>42</v>
      </c>
      <c r="AY101" s="159" t="s">
        <v>126</v>
      </c>
      <c r="BK101" s="166">
        <f>SUM(BK102:BK117)</f>
        <v>0</v>
      </c>
    </row>
    <row r="102" spans="2:65" s="26" customFormat="1" ht="16.5" customHeight="1" x14ac:dyDescent="0.25">
      <c r="B102" s="169"/>
      <c r="C102" s="170">
        <v>6</v>
      </c>
      <c r="D102" s="170" t="s">
        <v>129</v>
      </c>
      <c r="E102" s="171" t="s">
        <v>281</v>
      </c>
      <c r="F102" s="172" t="s">
        <v>282</v>
      </c>
      <c r="G102" s="173" t="s">
        <v>136</v>
      </c>
      <c r="H102" s="174">
        <f>H107+H108</f>
        <v>5019.42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4.3029999999999999E-2</v>
      </c>
      <c r="P102" s="177">
        <f>O102*H102</f>
        <v>215.98564260000001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283</v>
      </c>
    </row>
    <row r="103" spans="2:65" s="26" customFormat="1" ht="16.5" customHeight="1" x14ac:dyDescent="0.25">
      <c r="B103" s="169"/>
      <c r="C103" s="187">
        <v>7</v>
      </c>
      <c r="D103" s="187" t="s">
        <v>261</v>
      </c>
      <c r="E103" s="188" t="s">
        <v>284</v>
      </c>
      <c r="F103" s="189" t="s">
        <v>285</v>
      </c>
      <c r="G103" s="190" t="s">
        <v>146</v>
      </c>
      <c r="H103" s="191">
        <f>H104</f>
        <v>3.7645650000000002</v>
      </c>
      <c r="I103" s="191"/>
      <c r="J103" s="191">
        <f>ROUND(I103*H103,3)</f>
        <v>0</v>
      </c>
      <c r="K103" s="189" t="s">
        <v>156</v>
      </c>
      <c r="L103" s="199"/>
      <c r="M103" s="200" t="s">
        <v>9</v>
      </c>
      <c r="N103" s="201" t="s">
        <v>27</v>
      </c>
      <c r="O103" s="177">
        <v>0</v>
      </c>
      <c r="P103" s="177">
        <f>O103*H103</f>
        <v>0</v>
      </c>
      <c r="Q103" s="177">
        <v>1</v>
      </c>
      <c r="R103" s="177">
        <f>Q103*H103</f>
        <v>3.7645650000000002</v>
      </c>
      <c r="S103" s="177">
        <v>0</v>
      </c>
      <c r="T103" s="178">
        <f>S103*H103</f>
        <v>0</v>
      </c>
      <c r="AR103" s="128" t="s">
        <v>286</v>
      </c>
      <c r="AT103" s="128" t="s">
        <v>261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287</v>
      </c>
    </row>
    <row r="104" spans="2:65" s="26" customFormat="1" x14ac:dyDescent="0.25">
      <c r="B104" s="132"/>
      <c r="D104" s="179" t="s">
        <v>161</v>
      </c>
      <c r="F104" s="143" t="s">
        <v>602</v>
      </c>
      <c r="H104" s="166">
        <f>H102*0.00075</f>
        <v>3.7645650000000002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</v>
      </c>
      <c r="AX104" s="26" t="s">
        <v>42</v>
      </c>
      <c r="AY104" s="128" t="s">
        <v>126</v>
      </c>
    </row>
    <row r="105" spans="2:65" s="26" customFormat="1" ht="22.5" customHeight="1" x14ac:dyDescent="0.25">
      <c r="B105" s="169"/>
      <c r="C105" s="170" t="s">
        <v>138</v>
      </c>
      <c r="D105" s="170" t="s">
        <v>129</v>
      </c>
      <c r="E105" s="171" t="s">
        <v>289</v>
      </c>
      <c r="F105" s="172" t="s">
        <v>290</v>
      </c>
      <c r="G105" s="173" t="s">
        <v>136</v>
      </c>
      <c r="H105" s="174">
        <v>922.44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0.17499999999999999</v>
      </c>
      <c r="P105" s="177">
        <f>O105*H105</f>
        <v>161.42699999999999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197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291</v>
      </c>
    </row>
    <row r="106" spans="2:65" s="26" customFormat="1" x14ac:dyDescent="0.25">
      <c r="B106" s="132"/>
      <c r="D106" s="179" t="s">
        <v>161</v>
      </c>
      <c r="E106" s="128" t="s">
        <v>9</v>
      </c>
      <c r="F106" s="143" t="s">
        <v>603</v>
      </c>
      <c r="H106" s="166">
        <v>922.44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163</v>
      </c>
      <c r="AX106" s="26" t="s">
        <v>42</v>
      </c>
      <c r="AY106" s="128" t="s">
        <v>126</v>
      </c>
    </row>
    <row r="107" spans="2:65" s="26" customFormat="1" ht="22.5" customHeight="1" x14ac:dyDescent="0.25">
      <c r="B107" s="169"/>
      <c r="C107" s="170" t="s">
        <v>427</v>
      </c>
      <c r="D107" s="170" t="s">
        <v>129</v>
      </c>
      <c r="E107" s="171" t="s">
        <v>293</v>
      </c>
      <c r="F107" s="172" t="s">
        <v>294</v>
      </c>
      <c r="G107" s="173" t="s">
        <v>136</v>
      </c>
      <c r="H107" s="174">
        <f>4151*1.02</f>
        <v>4234.0200000000004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0.43458000000000002</v>
      </c>
      <c r="P107" s="177">
        <f>O107*H107</f>
        <v>1840.0204116000002</v>
      </c>
      <c r="Q107" s="177">
        <v>9.8999999999999999E-4</v>
      </c>
      <c r="R107" s="177">
        <f>Q107*H107</f>
        <v>4.1916798000000002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295</v>
      </c>
    </row>
    <row r="108" spans="2:65" s="26" customFormat="1" ht="22.5" customHeight="1" x14ac:dyDescent="0.25">
      <c r="B108" s="169"/>
      <c r="C108" s="170" t="s">
        <v>428</v>
      </c>
      <c r="D108" s="170" t="s">
        <v>129</v>
      </c>
      <c r="E108" s="171" t="s">
        <v>296</v>
      </c>
      <c r="F108" s="172" t="s">
        <v>297</v>
      </c>
      <c r="G108" s="173" t="s">
        <v>136</v>
      </c>
      <c r="H108" s="174">
        <f>748*1.05</f>
        <v>785.4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0.435</v>
      </c>
      <c r="P108" s="177">
        <f>O108*H108</f>
        <v>341.649</v>
      </c>
      <c r="Q108" s="177">
        <v>9.8999999999999999E-4</v>
      </c>
      <c r="R108" s="177">
        <f>Q108*H108</f>
        <v>0.77754599999999996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298</v>
      </c>
    </row>
    <row r="109" spans="2:65" s="26" customFormat="1" ht="30.6" customHeight="1" x14ac:dyDescent="0.25">
      <c r="B109" s="169"/>
      <c r="C109" s="187" t="s">
        <v>429</v>
      </c>
      <c r="D109" s="187" t="s">
        <v>261</v>
      </c>
      <c r="E109" s="188" t="s">
        <v>299</v>
      </c>
      <c r="F109" s="189" t="s">
        <v>300</v>
      </c>
      <c r="G109" s="190" t="s">
        <v>136</v>
      </c>
      <c r="H109" s="191">
        <f>(H107+H108)*1.15</f>
        <v>5772.3329999999996</v>
      </c>
      <c r="I109" s="191"/>
      <c r="J109" s="191">
        <f>ROUND(I109*H109,3)</f>
        <v>0</v>
      </c>
      <c r="K109" s="189" t="s">
        <v>156</v>
      </c>
      <c r="L109" s="199"/>
      <c r="M109" s="200" t="s">
        <v>9</v>
      </c>
      <c r="N109" s="201" t="s">
        <v>27</v>
      </c>
      <c r="O109" s="177">
        <v>0</v>
      </c>
      <c r="P109" s="177">
        <f>O109*H109</f>
        <v>0</v>
      </c>
      <c r="Q109" s="177">
        <v>5.0000000000000001E-3</v>
      </c>
      <c r="R109" s="177">
        <f>Q109*H109</f>
        <v>28.861664999999999</v>
      </c>
      <c r="S109" s="177">
        <v>0</v>
      </c>
      <c r="T109" s="178">
        <f>S109*H109</f>
        <v>0</v>
      </c>
      <c r="AR109" s="128" t="s">
        <v>286</v>
      </c>
      <c r="AT109" s="128" t="s">
        <v>261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301</v>
      </c>
    </row>
    <row r="110" spans="2:65" s="26" customFormat="1" x14ac:dyDescent="0.25">
      <c r="B110" s="132"/>
      <c r="D110" s="179" t="s">
        <v>161</v>
      </c>
      <c r="F110" s="143" t="s">
        <v>604</v>
      </c>
      <c r="H110" s="166">
        <f>(H107+H108)*1.15</f>
        <v>5772.3329999999996</v>
      </c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</v>
      </c>
      <c r="AX110" s="26" t="s">
        <v>42</v>
      </c>
      <c r="AY110" s="128" t="s">
        <v>126</v>
      </c>
    </row>
    <row r="111" spans="2:65" s="26" customFormat="1" ht="16.5" customHeight="1" x14ac:dyDescent="0.25">
      <c r="B111" s="169"/>
      <c r="C111" s="187" t="s">
        <v>431</v>
      </c>
      <c r="D111" s="187" t="s">
        <v>261</v>
      </c>
      <c r="E111" s="188" t="s">
        <v>303</v>
      </c>
      <c r="F111" s="189" t="s">
        <v>304</v>
      </c>
      <c r="G111" s="190" t="s">
        <v>136</v>
      </c>
      <c r="H111" s="191">
        <f>H109</f>
        <v>5772.3329999999996</v>
      </c>
      <c r="I111" s="191"/>
      <c r="J111" s="191">
        <f>ROUND(I111*H111,3)</f>
        <v>0</v>
      </c>
      <c r="K111" s="189" t="s">
        <v>9</v>
      </c>
      <c r="L111" s="199"/>
      <c r="M111" s="200" t="s">
        <v>9</v>
      </c>
      <c r="N111" s="201" t="s">
        <v>27</v>
      </c>
      <c r="O111" s="177">
        <v>0</v>
      </c>
      <c r="P111" s="177">
        <f>O111*H111</f>
        <v>0</v>
      </c>
      <c r="Q111" s="177">
        <v>5.0000000000000001E-3</v>
      </c>
      <c r="R111" s="177">
        <f>Q111*H111</f>
        <v>28.861664999999999</v>
      </c>
      <c r="S111" s="177">
        <v>0</v>
      </c>
      <c r="T111" s="178">
        <f>S111*H111</f>
        <v>0</v>
      </c>
      <c r="AR111" s="128" t="s">
        <v>286</v>
      </c>
      <c r="AT111" s="128" t="s">
        <v>261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305</v>
      </c>
    </row>
    <row r="112" spans="2:65" s="26" customFormat="1" ht="16.5" customHeight="1" x14ac:dyDescent="0.25">
      <c r="B112" s="169"/>
      <c r="C112" s="170" t="s">
        <v>432</v>
      </c>
      <c r="D112" s="170" t="s">
        <v>129</v>
      </c>
      <c r="E112" s="171" t="s">
        <v>306</v>
      </c>
      <c r="F112" s="172" t="s">
        <v>307</v>
      </c>
      <c r="G112" s="173" t="s">
        <v>234</v>
      </c>
      <c r="H112" s="174">
        <f>H126+H128+H134</f>
        <v>1026.3000000000002</v>
      </c>
      <c r="I112" s="174"/>
      <c r="J112" s="174">
        <f t="shared" ref="J112:J117" si="0">ROUND(I112*H112,3)</f>
        <v>0</v>
      </c>
      <c r="K112" s="172" t="s">
        <v>9</v>
      </c>
      <c r="L112" s="132"/>
      <c r="M112" s="175" t="s">
        <v>9</v>
      </c>
      <c r="N112" s="176" t="s">
        <v>27</v>
      </c>
      <c r="O112" s="177">
        <v>0</v>
      </c>
      <c r="P112" s="177">
        <f t="shared" ref="P112:P117" si="1">O112*H112</f>
        <v>0</v>
      </c>
      <c r="Q112" s="177">
        <v>0</v>
      </c>
      <c r="R112" s="177">
        <f t="shared" ref="R112:R117" si="2">Q112*H112</f>
        <v>0</v>
      </c>
      <c r="S112" s="177">
        <v>0</v>
      </c>
      <c r="T112" s="178">
        <f t="shared" ref="T112:T117" si="3">S112*H112</f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 t="shared" ref="BE112:BE117" si="4">IF(N112="základná",J112,0)</f>
        <v>0</v>
      </c>
      <c r="BF112" s="138">
        <f t="shared" ref="BF112:BF117" si="5">IF(N112="znížená",J112,0)</f>
        <v>0</v>
      </c>
      <c r="BG112" s="138">
        <f t="shared" ref="BG112:BG117" si="6">IF(N112="zákl. prenesená",J112,0)</f>
        <v>0</v>
      </c>
      <c r="BH112" s="138">
        <f t="shared" ref="BH112:BH117" si="7">IF(N112="zníž. prenesená",J112,0)</f>
        <v>0</v>
      </c>
      <c r="BI112" s="138">
        <f t="shared" ref="BI112:BI117" si="8">IF(N112="nulová",J112,0)</f>
        <v>0</v>
      </c>
      <c r="BJ112" s="128" t="s">
        <v>88</v>
      </c>
      <c r="BK112" s="166">
        <f t="shared" ref="BK112:BK117" si="9">ROUND(I112*H112,3)</f>
        <v>0</v>
      </c>
      <c r="BL112" s="128" t="s">
        <v>197</v>
      </c>
      <c r="BM112" s="128" t="s">
        <v>308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309</v>
      </c>
      <c r="F113" s="172" t="s">
        <v>310</v>
      </c>
      <c r="G113" s="173" t="s">
        <v>136</v>
      </c>
      <c r="H113" s="174">
        <v>311</v>
      </c>
      <c r="I113" s="174"/>
      <c r="J113" s="174">
        <f t="shared" si="0"/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2.8049999999999999E-2</v>
      </c>
      <c r="P113" s="177">
        <f t="shared" si="1"/>
        <v>8.7235499999999995</v>
      </c>
      <c r="Q113" s="177">
        <v>0</v>
      </c>
      <c r="R113" s="177">
        <f t="shared" si="2"/>
        <v>0</v>
      </c>
      <c r="S113" s="177">
        <v>0</v>
      </c>
      <c r="T113" s="178">
        <f t="shared" si="3"/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 t="shared" si="4"/>
        <v>0</v>
      </c>
      <c r="BF113" s="138">
        <f t="shared" si="5"/>
        <v>0</v>
      </c>
      <c r="BG113" s="138">
        <f t="shared" si="6"/>
        <v>0</v>
      </c>
      <c r="BH113" s="138">
        <f t="shared" si="7"/>
        <v>0</v>
      </c>
      <c r="BI113" s="138">
        <f t="shared" si="8"/>
        <v>0</v>
      </c>
      <c r="BJ113" s="128" t="s">
        <v>88</v>
      </c>
      <c r="BK113" s="166">
        <f t="shared" si="9"/>
        <v>0</v>
      </c>
      <c r="BL113" s="128" t="s">
        <v>197</v>
      </c>
      <c r="BM113" s="128" t="s">
        <v>311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312</v>
      </c>
      <c r="F114" s="189" t="s">
        <v>313</v>
      </c>
      <c r="G114" s="190" t="s">
        <v>136</v>
      </c>
      <c r="H114" s="191">
        <f>H113*1.15</f>
        <v>357.65</v>
      </c>
      <c r="I114" s="191"/>
      <c r="J114" s="191">
        <f t="shared" si="0"/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 t="shared" si="1"/>
        <v>0</v>
      </c>
      <c r="Q114" s="177">
        <v>4.0000000000000002E-4</v>
      </c>
      <c r="R114" s="177">
        <f t="shared" si="2"/>
        <v>0.14305999999999999</v>
      </c>
      <c r="S114" s="177">
        <v>0</v>
      </c>
      <c r="T114" s="178">
        <f t="shared" si="3"/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 t="shared" si="4"/>
        <v>0</v>
      </c>
      <c r="BF114" s="138">
        <f t="shared" si="5"/>
        <v>0</v>
      </c>
      <c r="BG114" s="138">
        <f t="shared" si="6"/>
        <v>0</v>
      </c>
      <c r="BH114" s="138">
        <f t="shared" si="7"/>
        <v>0</v>
      </c>
      <c r="BI114" s="138">
        <f t="shared" si="8"/>
        <v>0</v>
      </c>
      <c r="BJ114" s="128" t="s">
        <v>88</v>
      </c>
      <c r="BK114" s="166">
        <f t="shared" si="9"/>
        <v>0</v>
      </c>
      <c r="BL114" s="128" t="s">
        <v>197</v>
      </c>
      <c r="BM114" s="128" t="s">
        <v>314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316</v>
      </c>
      <c r="F115" s="172" t="s">
        <v>317</v>
      </c>
      <c r="G115" s="173" t="s">
        <v>205</v>
      </c>
      <c r="H115" s="174">
        <v>35</v>
      </c>
      <c r="I115" s="174"/>
      <c r="J115" s="174">
        <f t="shared" si="0"/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0.24274000000000001</v>
      </c>
      <c r="P115" s="177">
        <f t="shared" si="1"/>
        <v>8.4959000000000007</v>
      </c>
      <c r="Q115" s="177">
        <v>2.7599999999999999E-3</v>
      </c>
      <c r="R115" s="177">
        <f t="shared" si="2"/>
        <v>9.6599999999999991E-2</v>
      </c>
      <c r="S115" s="177">
        <v>0</v>
      </c>
      <c r="T115" s="178">
        <f t="shared" si="3"/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 t="shared" si="4"/>
        <v>0</v>
      </c>
      <c r="BF115" s="138">
        <f t="shared" si="5"/>
        <v>0</v>
      </c>
      <c r="BG115" s="138">
        <f t="shared" si="6"/>
        <v>0</v>
      </c>
      <c r="BH115" s="138">
        <f t="shared" si="7"/>
        <v>0</v>
      </c>
      <c r="BI115" s="138">
        <f t="shared" si="8"/>
        <v>0</v>
      </c>
      <c r="BJ115" s="128" t="s">
        <v>88</v>
      </c>
      <c r="BK115" s="166">
        <f t="shared" si="9"/>
        <v>0</v>
      </c>
      <c r="BL115" s="128" t="s">
        <v>197</v>
      </c>
      <c r="BM115" s="128" t="s">
        <v>318</v>
      </c>
    </row>
    <row r="116" spans="2:65" s="26" customFormat="1" ht="16.5" customHeight="1" x14ac:dyDescent="0.25">
      <c r="B116" s="169"/>
      <c r="C116" s="187" t="s">
        <v>435</v>
      </c>
      <c r="D116" s="187" t="s">
        <v>261</v>
      </c>
      <c r="E116" s="188" t="s">
        <v>319</v>
      </c>
      <c r="F116" s="189" t="s">
        <v>320</v>
      </c>
      <c r="G116" s="190" t="s">
        <v>205</v>
      </c>
      <c r="H116" s="191">
        <v>35</v>
      </c>
      <c r="I116" s="191"/>
      <c r="J116" s="191">
        <f t="shared" si="0"/>
        <v>0</v>
      </c>
      <c r="K116" s="189" t="s">
        <v>9</v>
      </c>
      <c r="L116" s="199"/>
      <c r="M116" s="200" t="s">
        <v>9</v>
      </c>
      <c r="N116" s="201" t="s">
        <v>27</v>
      </c>
      <c r="O116" s="177">
        <v>0</v>
      </c>
      <c r="P116" s="177">
        <f t="shared" si="1"/>
        <v>0</v>
      </c>
      <c r="Q116" s="177">
        <v>8.4999999999999995E-4</v>
      </c>
      <c r="R116" s="177">
        <f t="shared" si="2"/>
        <v>2.9749999999999999E-2</v>
      </c>
      <c r="S116" s="177">
        <v>0</v>
      </c>
      <c r="T116" s="178">
        <f t="shared" si="3"/>
        <v>0</v>
      </c>
      <c r="AR116" s="128" t="s">
        <v>286</v>
      </c>
      <c r="AT116" s="128" t="s">
        <v>261</v>
      </c>
      <c r="AU116" s="128" t="s">
        <v>88</v>
      </c>
      <c r="AY116" s="128" t="s">
        <v>126</v>
      </c>
      <c r="BE116" s="138">
        <f t="shared" si="4"/>
        <v>0</v>
      </c>
      <c r="BF116" s="138">
        <f t="shared" si="5"/>
        <v>0</v>
      </c>
      <c r="BG116" s="138">
        <f t="shared" si="6"/>
        <v>0</v>
      </c>
      <c r="BH116" s="138">
        <f t="shared" si="7"/>
        <v>0</v>
      </c>
      <c r="BI116" s="138">
        <f t="shared" si="8"/>
        <v>0</v>
      </c>
      <c r="BJ116" s="128" t="s">
        <v>88</v>
      </c>
      <c r="BK116" s="166">
        <f t="shared" si="9"/>
        <v>0</v>
      </c>
      <c r="BL116" s="128" t="s">
        <v>197</v>
      </c>
      <c r="BM116" s="128" t="s">
        <v>321</v>
      </c>
    </row>
    <row r="117" spans="2:65" s="26" customFormat="1" ht="16.5" customHeight="1" x14ac:dyDescent="0.25">
      <c r="B117" s="169"/>
      <c r="C117" s="170" t="s">
        <v>436</v>
      </c>
      <c r="D117" s="170" t="s">
        <v>129</v>
      </c>
      <c r="E117" s="171" t="s">
        <v>322</v>
      </c>
      <c r="F117" s="172" t="s">
        <v>323</v>
      </c>
      <c r="G117" s="173" t="s">
        <v>324</v>
      </c>
      <c r="H117" s="174">
        <f>SUM(J102:J116)/100*1.3</f>
        <v>0</v>
      </c>
      <c r="I117" s="174"/>
      <c r="J117" s="174">
        <f t="shared" si="0"/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</v>
      </c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 t="shared" si="4"/>
        <v>0</v>
      </c>
      <c r="BF117" s="138">
        <f t="shared" si="5"/>
        <v>0</v>
      </c>
      <c r="BG117" s="138">
        <f t="shared" si="6"/>
        <v>0</v>
      </c>
      <c r="BH117" s="138">
        <f t="shared" si="7"/>
        <v>0</v>
      </c>
      <c r="BI117" s="138">
        <f t="shared" si="8"/>
        <v>0</v>
      </c>
      <c r="BJ117" s="128" t="s">
        <v>88</v>
      </c>
      <c r="BK117" s="166">
        <f t="shared" si="9"/>
        <v>0</v>
      </c>
      <c r="BL117" s="128" t="s">
        <v>197</v>
      </c>
      <c r="BM117" s="128" t="s">
        <v>325</v>
      </c>
    </row>
    <row r="118" spans="2:65" s="158" customFormat="1" ht="22.9" customHeight="1" x14ac:dyDescent="0.2">
      <c r="B118" s="157"/>
      <c r="D118" s="159" t="s">
        <v>123</v>
      </c>
      <c r="E118" s="167" t="s">
        <v>326</v>
      </c>
      <c r="F118" s="167" t="s">
        <v>327</v>
      </c>
      <c r="J118" s="168">
        <f>SUM(J119:J124)</f>
        <v>0</v>
      </c>
      <c r="L118" s="157"/>
      <c r="M118" s="162"/>
      <c r="P118" s="163">
        <f>SUM(P119:P124)</f>
        <v>710.28002400000003</v>
      </c>
      <c r="R118" s="163">
        <f>SUM(R119:R124)</f>
        <v>10.242435041250001</v>
      </c>
      <c r="T118" s="164">
        <f>SUM(T119:T124)</f>
        <v>0</v>
      </c>
      <c r="AR118" s="159" t="s">
        <v>88</v>
      </c>
      <c r="AT118" s="165" t="s">
        <v>123</v>
      </c>
      <c r="AU118" s="165" t="s">
        <v>42</v>
      </c>
      <c r="AY118" s="159" t="s">
        <v>126</v>
      </c>
      <c r="BK118" s="166">
        <f>SUM(BK119:BK124)</f>
        <v>0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328</v>
      </c>
      <c r="F119" s="172" t="s">
        <v>329</v>
      </c>
      <c r="G119" s="173" t="s">
        <v>136</v>
      </c>
      <c r="H119" s="174">
        <f>1383.67*1.05</f>
        <v>1452.8535000000002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0.46400000000000002</v>
      </c>
      <c r="P119" s="177">
        <f>O119*H119</f>
        <v>674.12402400000008</v>
      </c>
      <c r="Q119" s="177">
        <v>4.0000000000000001E-3</v>
      </c>
      <c r="R119" s="177">
        <f>Q119*H119</f>
        <v>5.811414000000001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330</v>
      </c>
    </row>
    <row r="120" spans="2:65" s="26" customFormat="1" ht="16.5" customHeight="1" x14ac:dyDescent="0.25">
      <c r="B120" s="169"/>
      <c r="C120" s="187" t="s">
        <v>437</v>
      </c>
      <c r="D120" s="187" t="s">
        <v>261</v>
      </c>
      <c r="E120" s="188" t="s">
        <v>331</v>
      </c>
      <c r="F120" s="189" t="s">
        <v>332</v>
      </c>
      <c r="G120" s="190" t="s">
        <v>136</v>
      </c>
      <c r="H120" s="191">
        <f>H119*1.15</f>
        <v>1670.7815250000001</v>
      </c>
      <c r="I120" s="191"/>
      <c r="J120" s="191">
        <f>ROUND(I120*H120,3)</f>
        <v>0</v>
      </c>
      <c r="K120" s="189" t="s">
        <v>156</v>
      </c>
      <c r="L120" s="199"/>
      <c r="M120" s="200" t="s">
        <v>9</v>
      </c>
      <c r="N120" s="201" t="s">
        <v>27</v>
      </c>
      <c r="O120" s="177">
        <v>0</v>
      </c>
      <c r="P120" s="177">
        <f>O120*H120</f>
        <v>0</v>
      </c>
      <c r="Q120" s="177">
        <v>2.65E-3</v>
      </c>
      <c r="R120" s="177">
        <f>Q120*H120</f>
        <v>4.4275710412500002</v>
      </c>
      <c r="S120" s="177">
        <v>0</v>
      </c>
      <c r="T120" s="178">
        <f>S120*H120</f>
        <v>0</v>
      </c>
      <c r="AR120" s="128" t="s">
        <v>286</v>
      </c>
      <c r="AT120" s="128" t="s">
        <v>261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333</v>
      </c>
    </row>
    <row r="121" spans="2:65" s="26" customFormat="1" ht="16.5" customHeight="1" x14ac:dyDescent="0.25">
      <c r="B121" s="169"/>
      <c r="C121" s="170" t="s">
        <v>438</v>
      </c>
      <c r="D121" s="170" t="s">
        <v>129</v>
      </c>
      <c r="E121" s="171" t="s">
        <v>335</v>
      </c>
      <c r="F121" s="172" t="s">
        <v>336</v>
      </c>
      <c r="G121" s="173" t="s">
        <v>234</v>
      </c>
      <c r="H121" s="174">
        <v>69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0.52400000000000002</v>
      </c>
      <c r="P121" s="177">
        <f>O121*H121</f>
        <v>36.155999999999999</v>
      </c>
      <c r="Q121" s="177">
        <v>5.0000000000000002E-5</v>
      </c>
      <c r="R121" s="177">
        <f>Q121*H121</f>
        <v>3.4500000000000004E-3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337</v>
      </c>
    </row>
    <row r="122" spans="2:65" s="26" customFormat="1" ht="16.5" customHeight="1" x14ac:dyDescent="0.25">
      <c r="B122" s="169"/>
      <c r="C122" s="170" t="s">
        <v>605</v>
      </c>
      <c r="D122" s="170" t="s">
        <v>129</v>
      </c>
      <c r="E122" s="171" t="s">
        <v>606</v>
      </c>
      <c r="F122" s="172" t="s">
        <v>607</v>
      </c>
      <c r="G122" s="173" t="s">
        <v>136</v>
      </c>
      <c r="H122" s="174">
        <f>1148+311</f>
        <v>1459</v>
      </c>
      <c r="I122" s="174"/>
      <c r="J122" s="174">
        <f>ROUND(I122*H122,3)</f>
        <v>0</v>
      </c>
      <c r="K122" s="172"/>
      <c r="L122" s="132"/>
      <c r="M122" s="175"/>
      <c r="N122" s="176"/>
      <c r="O122" s="177"/>
      <c r="P122" s="177"/>
      <c r="Q122" s="177"/>
      <c r="R122" s="177"/>
      <c r="S122" s="177"/>
      <c r="T122" s="178"/>
      <c r="AR122" s="128"/>
      <c r="AT122" s="128"/>
      <c r="AU122" s="128"/>
      <c r="AY122" s="128"/>
      <c r="BE122" s="138"/>
      <c r="BF122" s="138"/>
      <c r="BG122" s="138"/>
      <c r="BH122" s="138"/>
      <c r="BI122" s="138"/>
      <c r="BJ122" s="128"/>
      <c r="BK122" s="166"/>
      <c r="BL122" s="128"/>
      <c r="BM122" s="128"/>
    </row>
    <row r="123" spans="2:65" s="26" customFormat="1" ht="16.5" customHeight="1" x14ac:dyDescent="0.25">
      <c r="B123" s="169"/>
      <c r="C123" s="170" t="s">
        <v>608</v>
      </c>
      <c r="D123" s="170" t="s">
        <v>261</v>
      </c>
      <c r="E123" s="171" t="s">
        <v>306</v>
      </c>
      <c r="F123" s="172" t="s">
        <v>609</v>
      </c>
      <c r="G123" s="173" t="s">
        <v>136</v>
      </c>
      <c r="H123" s="174">
        <f>H122*1.1</f>
        <v>1604.9</v>
      </c>
      <c r="I123" s="174"/>
      <c r="J123" s="174">
        <f t="shared" ref="J123" si="10">ROUND(I123*H123,3)</f>
        <v>0</v>
      </c>
      <c r="K123" s="172"/>
      <c r="L123" s="132"/>
      <c r="M123" s="175"/>
      <c r="N123" s="176"/>
      <c r="O123" s="177"/>
      <c r="P123" s="177"/>
      <c r="Q123" s="177"/>
      <c r="R123" s="177"/>
      <c r="S123" s="177"/>
      <c r="T123" s="178"/>
      <c r="AR123" s="128"/>
      <c r="AT123" s="128"/>
      <c r="AU123" s="128"/>
      <c r="AY123" s="128"/>
      <c r="BE123" s="138"/>
      <c r="BF123" s="138"/>
      <c r="BG123" s="138"/>
      <c r="BH123" s="138"/>
      <c r="BI123" s="138"/>
      <c r="BJ123" s="128"/>
      <c r="BK123" s="166">
        <f>ROUND(I123*H123,3)</f>
        <v>0</v>
      </c>
      <c r="BL123" s="128"/>
      <c r="BM123" s="128"/>
    </row>
    <row r="124" spans="2:65" s="26" customFormat="1" ht="16.5" customHeight="1" x14ac:dyDescent="0.25">
      <c r="B124" s="169"/>
      <c r="C124" s="170" t="s">
        <v>439</v>
      </c>
      <c r="D124" s="170" t="s">
        <v>129</v>
      </c>
      <c r="E124" s="171" t="s">
        <v>338</v>
      </c>
      <c r="F124" s="172" t="s">
        <v>339</v>
      </c>
      <c r="G124" s="173" t="s">
        <v>324</v>
      </c>
      <c r="H124" s="174">
        <f>SUM(J119:K123)/100*1.3</f>
        <v>0</v>
      </c>
      <c r="I124" s="174"/>
      <c r="J124" s="174">
        <f>ROUND(I124*H124,3)</f>
        <v>0</v>
      </c>
      <c r="K124" s="172" t="s">
        <v>156</v>
      </c>
      <c r="L124" s="132"/>
      <c r="M124" s="175" t="s">
        <v>9</v>
      </c>
      <c r="N124" s="176" t="s">
        <v>27</v>
      </c>
      <c r="O124" s="177">
        <v>0</v>
      </c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340</v>
      </c>
    </row>
    <row r="125" spans="2:65" s="158" customFormat="1" ht="22.9" customHeight="1" x14ac:dyDescent="0.2">
      <c r="B125" s="157"/>
      <c r="D125" s="159" t="s">
        <v>123</v>
      </c>
      <c r="E125" s="167" t="s">
        <v>223</v>
      </c>
      <c r="F125" s="167" t="s">
        <v>224</v>
      </c>
      <c r="J125" s="168">
        <f>SUM(J126:J136)</f>
        <v>0</v>
      </c>
      <c r="L125" s="157"/>
      <c r="M125" s="162"/>
      <c r="P125" s="163">
        <f>SUM(P126:P136)</f>
        <v>1072.2280150000001</v>
      </c>
      <c r="R125" s="163">
        <f>SUM(R126:R136)</f>
        <v>5.2717900000000002</v>
      </c>
      <c r="T125" s="164">
        <f>SUM(T126:T136)</f>
        <v>0</v>
      </c>
      <c r="AR125" s="159" t="s">
        <v>88</v>
      </c>
      <c r="AT125" s="165" t="s">
        <v>123</v>
      </c>
      <c r="AU125" s="165" t="s">
        <v>42</v>
      </c>
      <c r="AY125" s="159" t="s">
        <v>126</v>
      </c>
      <c r="BK125" s="166">
        <f>SUM(BK126:BK136)</f>
        <v>0</v>
      </c>
    </row>
    <row r="126" spans="2:65" s="26" customFormat="1" ht="16.5" customHeight="1" x14ac:dyDescent="0.25">
      <c r="B126" s="169"/>
      <c r="C126" s="170" t="s">
        <v>440</v>
      </c>
      <c r="D126" s="170" t="s">
        <v>129</v>
      </c>
      <c r="E126" s="171" t="s">
        <v>341</v>
      </c>
      <c r="F126" s="172" t="s">
        <v>342</v>
      </c>
      <c r="G126" s="173" t="s">
        <v>230</v>
      </c>
      <c r="H126" s="174">
        <f>173*1.1</f>
        <v>190.3</v>
      </c>
      <c r="I126" s="174"/>
      <c r="J126" s="174">
        <f>ROUND(I126*H126,3)</f>
        <v>0</v>
      </c>
      <c r="K126" s="172" t="s">
        <v>156</v>
      </c>
      <c r="L126" s="132"/>
      <c r="M126" s="175" t="s">
        <v>9</v>
      </c>
      <c r="N126" s="176" t="s">
        <v>27</v>
      </c>
      <c r="O126" s="177">
        <v>0.44508999999999999</v>
      </c>
      <c r="P126" s="177">
        <f>O126*H126</f>
        <v>84.700626999999997</v>
      </c>
      <c r="Q126" s="177">
        <v>2.0899999999999998E-3</v>
      </c>
      <c r="R126" s="177">
        <f>Q126*H126</f>
        <v>0.397727</v>
      </c>
      <c r="S126" s="177">
        <v>0</v>
      </c>
      <c r="T126" s="178">
        <f>S126*H126</f>
        <v>0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343</v>
      </c>
    </row>
    <row r="127" spans="2:65" s="26" customFormat="1" ht="16.5" customHeight="1" x14ac:dyDescent="0.25">
      <c r="B127" s="169"/>
      <c r="C127" s="170" t="s">
        <v>441</v>
      </c>
      <c r="D127" s="170" t="s">
        <v>129</v>
      </c>
      <c r="E127" s="171" t="s">
        <v>344</v>
      </c>
      <c r="F127" s="172" t="s">
        <v>345</v>
      </c>
      <c r="G127" s="173" t="s">
        <v>205</v>
      </c>
      <c r="H127" s="174">
        <v>27</v>
      </c>
      <c r="I127" s="174"/>
      <c r="J127" s="174">
        <f>ROUND(I127*H127,3)</f>
        <v>0</v>
      </c>
      <c r="K127" s="172" t="s">
        <v>9</v>
      </c>
      <c r="L127" s="132"/>
      <c r="M127" s="175" t="s">
        <v>9</v>
      </c>
      <c r="N127" s="176" t="s">
        <v>27</v>
      </c>
      <c r="O127" s="177">
        <v>1.3879999999999999</v>
      </c>
      <c r="P127" s="177">
        <f>O127*H127</f>
        <v>37.475999999999999</v>
      </c>
      <c r="Q127" s="177">
        <v>8.0000000000000004E-4</v>
      </c>
      <c r="R127" s="177">
        <f>Q127*H127</f>
        <v>2.1600000000000001E-2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346</v>
      </c>
    </row>
    <row r="128" spans="2:65" s="26" customFormat="1" ht="16.5" customHeight="1" x14ac:dyDescent="0.25">
      <c r="B128" s="169"/>
      <c r="C128" s="170" t="s">
        <v>442</v>
      </c>
      <c r="D128" s="170" t="s">
        <v>129</v>
      </c>
      <c r="E128" s="171" t="s">
        <v>356</v>
      </c>
      <c r="F128" s="172" t="s">
        <v>357</v>
      </c>
      <c r="G128" s="173" t="s">
        <v>230</v>
      </c>
      <c r="H128" s="174">
        <f>H133</f>
        <v>760.1</v>
      </c>
      <c r="I128" s="174"/>
      <c r="J128" s="174">
        <f>ROUND(I128*H128,3)</f>
        <v>0</v>
      </c>
      <c r="K128" s="172" t="s">
        <v>156</v>
      </c>
      <c r="L128" s="132"/>
      <c r="M128" s="175" t="s">
        <v>9</v>
      </c>
      <c r="N128" s="176" t="s">
        <v>27</v>
      </c>
      <c r="O128" s="177">
        <v>1.161</v>
      </c>
      <c r="P128" s="177">
        <f>O128*H128</f>
        <v>882.47610000000009</v>
      </c>
      <c r="Q128" s="177">
        <v>6.3699999999999998E-3</v>
      </c>
      <c r="R128" s="177">
        <f>Q128*H128</f>
        <v>4.8418369999999999</v>
      </c>
      <c r="S128" s="177">
        <v>0</v>
      </c>
      <c r="T128" s="178">
        <f>S128*H128</f>
        <v>0</v>
      </c>
      <c r="AR128" s="128" t="s">
        <v>197</v>
      </c>
      <c r="AT128" s="128" t="s">
        <v>129</v>
      </c>
      <c r="AU128" s="128" t="s">
        <v>88</v>
      </c>
      <c r="AY128" s="128" t="s">
        <v>126</v>
      </c>
      <c r="BE128" s="138">
        <f>IF(N128="základná",J128,0)</f>
        <v>0</v>
      </c>
      <c r="BF128" s="138">
        <f>IF(N128="znížená",J128,0)</f>
        <v>0</v>
      </c>
      <c r="BG128" s="138">
        <f>IF(N128="zákl. prenesená",J128,0)</f>
        <v>0</v>
      </c>
      <c r="BH128" s="138">
        <f>IF(N128="zníž. prenesená",J128,0)</f>
        <v>0</v>
      </c>
      <c r="BI128" s="138">
        <f>IF(N128="nulová",J128,0)</f>
        <v>0</v>
      </c>
      <c r="BJ128" s="128" t="s">
        <v>88</v>
      </c>
      <c r="BK128" s="166">
        <f>ROUND(I128*H128,3)</f>
        <v>0</v>
      </c>
      <c r="BL128" s="128" t="s">
        <v>197</v>
      </c>
      <c r="BM128" s="128" t="s">
        <v>358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610</v>
      </c>
      <c r="H129" s="166">
        <f>178*1.1</f>
        <v>195.8</v>
      </c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39</v>
      </c>
      <c r="AY129" s="128" t="s">
        <v>126</v>
      </c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514</v>
      </c>
      <c r="H130" s="166">
        <f>82*1.1</f>
        <v>90.2</v>
      </c>
      <c r="L130" s="132"/>
      <c r="M130" s="180"/>
      <c r="T130" s="181"/>
      <c r="AT130" s="128" t="s">
        <v>161</v>
      </c>
      <c r="AU130" s="128" t="s">
        <v>88</v>
      </c>
      <c r="AV130" s="26" t="s">
        <v>88</v>
      </c>
      <c r="AW130" s="26" t="s">
        <v>163</v>
      </c>
      <c r="AX130" s="26" t="s">
        <v>39</v>
      </c>
      <c r="AY130" s="128" t="s">
        <v>126</v>
      </c>
    </row>
    <row r="131" spans="2:65" s="26" customFormat="1" x14ac:dyDescent="0.25">
      <c r="B131" s="132"/>
      <c r="D131" s="179" t="s">
        <v>161</v>
      </c>
      <c r="E131" s="128" t="s">
        <v>9</v>
      </c>
      <c r="F131" s="143" t="s">
        <v>611</v>
      </c>
      <c r="H131" s="166">
        <f>203*1.1</f>
        <v>223.3</v>
      </c>
      <c r="L131" s="132"/>
      <c r="M131" s="180"/>
      <c r="T131" s="181"/>
      <c r="AT131" s="128" t="s">
        <v>161</v>
      </c>
      <c r="AU131" s="128" t="s">
        <v>88</v>
      </c>
      <c r="AV131" s="26" t="s">
        <v>88</v>
      </c>
      <c r="AW131" s="26" t="s">
        <v>163</v>
      </c>
      <c r="AX131" s="26" t="s">
        <v>39</v>
      </c>
      <c r="AY131" s="128" t="s">
        <v>126</v>
      </c>
    </row>
    <row r="132" spans="2:65" s="26" customFormat="1" x14ac:dyDescent="0.25">
      <c r="B132" s="132"/>
      <c r="D132" s="179" t="s">
        <v>161</v>
      </c>
      <c r="E132" s="128" t="s">
        <v>9</v>
      </c>
      <c r="F132" s="143" t="s">
        <v>515</v>
      </c>
      <c r="H132" s="166">
        <f>228*1.1</f>
        <v>250.8</v>
      </c>
      <c r="L132" s="132"/>
      <c r="M132" s="180"/>
      <c r="T132" s="181"/>
      <c r="AT132" s="128" t="s">
        <v>161</v>
      </c>
      <c r="AU132" s="128" t="s">
        <v>88</v>
      </c>
      <c r="AV132" s="26" t="s">
        <v>88</v>
      </c>
      <c r="AW132" s="26" t="s">
        <v>163</v>
      </c>
      <c r="AX132" s="26" t="s">
        <v>39</v>
      </c>
      <c r="AY132" s="128" t="s">
        <v>126</v>
      </c>
    </row>
    <row r="133" spans="2:65" s="26" customFormat="1" x14ac:dyDescent="0.25">
      <c r="B133" s="132"/>
      <c r="D133" s="179" t="s">
        <v>161</v>
      </c>
      <c r="E133" s="128" t="s">
        <v>9</v>
      </c>
      <c r="F133" s="143" t="s">
        <v>218</v>
      </c>
      <c r="H133" s="166">
        <f>SUM(H129:H132)</f>
        <v>760.1</v>
      </c>
      <c r="L133" s="132"/>
      <c r="M133" s="180"/>
      <c r="T133" s="181"/>
      <c r="AT133" s="128" t="s">
        <v>161</v>
      </c>
      <c r="AU133" s="128" t="s">
        <v>88</v>
      </c>
      <c r="AV133" s="26" t="s">
        <v>132</v>
      </c>
      <c r="AW133" s="26" t="s">
        <v>163</v>
      </c>
      <c r="AX133" s="26" t="s">
        <v>42</v>
      </c>
      <c r="AY133" s="128" t="s">
        <v>126</v>
      </c>
    </row>
    <row r="134" spans="2:65" s="26" customFormat="1" ht="16.5" customHeight="1" x14ac:dyDescent="0.25">
      <c r="B134" s="169"/>
      <c r="C134" s="170" t="s">
        <v>444</v>
      </c>
      <c r="D134" s="170" t="s">
        <v>129</v>
      </c>
      <c r="E134" s="171" t="s">
        <v>362</v>
      </c>
      <c r="F134" s="172" t="s">
        <v>363</v>
      </c>
      <c r="G134" s="173" t="s">
        <v>230</v>
      </c>
      <c r="H134" s="174">
        <f>69*1.1</f>
        <v>75.900000000000006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0.89032</v>
      </c>
      <c r="P134" s="177">
        <f>O134*H134</f>
        <v>67.575288</v>
      </c>
      <c r="Q134" s="177">
        <v>1.3999999999999999E-4</v>
      </c>
      <c r="R134" s="177">
        <f>Q134*H134</f>
        <v>1.0626E-2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364</v>
      </c>
    </row>
    <row r="135" spans="2:65" s="26" customFormat="1" ht="16.5" customHeight="1" x14ac:dyDescent="0.25">
      <c r="B135" s="169"/>
      <c r="C135" s="170" t="s">
        <v>447</v>
      </c>
      <c r="D135" s="170" t="s">
        <v>129</v>
      </c>
      <c r="E135" s="171" t="s">
        <v>365</v>
      </c>
      <c r="F135" s="172" t="s">
        <v>366</v>
      </c>
      <c r="G135" s="173" t="s">
        <v>234</v>
      </c>
      <c r="H135" s="174">
        <f>H126</f>
        <v>190.3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367</v>
      </c>
    </row>
    <row r="136" spans="2:65" s="26" customFormat="1" ht="16.5" customHeight="1" x14ac:dyDescent="0.25">
      <c r="B136" s="169"/>
      <c r="C136" s="170" t="s">
        <v>448</v>
      </c>
      <c r="D136" s="170" t="s">
        <v>129</v>
      </c>
      <c r="E136" s="171" t="s">
        <v>368</v>
      </c>
      <c r="F136" s="172" t="s">
        <v>369</v>
      </c>
      <c r="G136" s="173" t="s">
        <v>324</v>
      </c>
      <c r="H136" s="174">
        <f>SUM(J126:J135)/100*1.3</f>
        <v>0</v>
      </c>
      <c r="I136" s="174"/>
      <c r="J136" s="174">
        <f>ROUND(I136*H136,3)</f>
        <v>0</v>
      </c>
      <c r="K136" s="172" t="s">
        <v>156</v>
      </c>
      <c r="L136" s="132"/>
      <c r="M136" s="175" t="s">
        <v>9</v>
      </c>
      <c r="N136" s="176" t="s">
        <v>27</v>
      </c>
      <c r="O136" s="177">
        <v>0</v>
      </c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370</v>
      </c>
    </row>
    <row r="137" spans="2:65" s="158" customFormat="1" ht="22.9" customHeight="1" x14ac:dyDescent="0.2">
      <c r="B137" s="157"/>
      <c r="D137" s="159" t="s">
        <v>123</v>
      </c>
      <c r="E137" s="167" t="s">
        <v>242</v>
      </c>
      <c r="F137" s="167" t="s">
        <v>243</v>
      </c>
      <c r="J137" s="168">
        <f>SUM(J138:J139)</f>
        <v>0</v>
      </c>
      <c r="L137" s="157"/>
      <c r="M137" s="162"/>
      <c r="P137" s="163">
        <f>SUM(P138:P139)</f>
        <v>0.55000000000000004</v>
      </c>
      <c r="R137" s="163">
        <f>SUM(R138:R139)</f>
        <v>9.0000000000000006E-5</v>
      </c>
      <c r="T137" s="164">
        <f>SUM(T138:T139)</f>
        <v>0</v>
      </c>
      <c r="AR137" s="159" t="s">
        <v>88</v>
      </c>
      <c r="AT137" s="165" t="s">
        <v>123</v>
      </c>
      <c r="AU137" s="165" t="s">
        <v>42</v>
      </c>
      <c r="AY137" s="159" t="s">
        <v>126</v>
      </c>
      <c r="BK137" s="166">
        <f>SUM(BK138:BK139)</f>
        <v>0</v>
      </c>
    </row>
    <row r="138" spans="2:65" s="26" customFormat="1" ht="16.5" customHeight="1" x14ac:dyDescent="0.25">
      <c r="B138" s="169"/>
      <c r="C138" s="170" t="s">
        <v>450</v>
      </c>
      <c r="D138" s="170" t="s">
        <v>129</v>
      </c>
      <c r="E138" s="171" t="s">
        <v>371</v>
      </c>
      <c r="F138" s="172" t="s">
        <v>372</v>
      </c>
      <c r="G138" s="173" t="s">
        <v>205</v>
      </c>
      <c r="H138" s="174">
        <v>1</v>
      </c>
      <c r="I138" s="174"/>
      <c r="J138" s="174">
        <f>ROUND(I138*H138,3)</f>
        <v>0</v>
      </c>
      <c r="K138" s="172" t="s">
        <v>9</v>
      </c>
      <c r="L138" s="132"/>
      <c r="M138" s="175" t="s">
        <v>9</v>
      </c>
      <c r="N138" s="176" t="s">
        <v>27</v>
      </c>
      <c r="O138" s="177">
        <v>0.55000000000000004</v>
      </c>
      <c r="P138" s="177">
        <f>O138*H138</f>
        <v>0.55000000000000004</v>
      </c>
      <c r="Q138" s="177">
        <v>9.0000000000000006E-5</v>
      </c>
      <c r="R138" s="177">
        <f>Q138*H138</f>
        <v>9.0000000000000006E-5</v>
      </c>
      <c r="S138" s="177">
        <v>0</v>
      </c>
      <c r="T138" s="178">
        <f>S138*H138</f>
        <v>0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373</v>
      </c>
    </row>
    <row r="139" spans="2:65" s="26" customFormat="1" ht="16.5" customHeight="1" x14ac:dyDescent="0.25">
      <c r="B139" s="169"/>
      <c r="C139" s="170" t="s">
        <v>451</v>
      </c>
      <c r="D139" s="170" t="s">
        <v>129</v>
      </c>
      <c r="E139" s="171" t="s">
        <v>374</v>
      </c>
      <c r="F139" s="172" t="s">
        <v>375</v>
      </c>
      <c r="G139" s="173" t="s">
        <v>324</v>
      </c>
      <c r="H139" s="174">
        <v>1.008</v>
      </c>
      <c r="I139" s="174"/>
      <c r="J139" s="174">
        <f>ROUND(I139*H139,3)</f>
        <v>0</v>
      </c>
      <c r="K139" s="172" t="s">
        <v>156</v>
      </c>
      <c r="L139" s="132"/>
      <c r="M139" s="175" t="s">
        <v>9</v>
      </c>
      <c r="N139" s="176" t="s">
        <v>27</v>
      </c>
      <c r="O139" s="177">
        <v>0</v>
      </c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376</v>
      </c>
    </row>
    <row r="140" spans="2:65" s="158" customFormat="1" ht="22.9" customHeight="1" x14ac:dyDescent="0.2">
      <c r="B140" s="157"/>
      <c r="D140" s="159"/>
      <c r="E140" s="167" t="s">
        <v>377</v>
      </c>
      <c r="F140" s="167" t="s">
        <v>378</v>
      </c>
      <c r="J140" s="168">
        <f>SUM(J141:J144)</f>
        <v>0</v>
      </c>
      <c r="L140" s="157"/>
      <c r="M140" s="162"/>
      <c r="P140" s="163"/>
      <c r="R140" s="163"/>
      <c r="T140" s="164"/>
      <c r="AR140" s="159"/>
      <c r="AT140" s="165"/>
      <c r="AU140" s="165"/>
      <c r="AY140" s="159"/>
      <c r="BK140" s="166"/>
    </row>
    <row r="141" spans="2:65" s="26" customFormat="1" ht="16.5" customHeight="1" x14ac:dyDescent="0.25">
      <c r="B141" s="169"/>
      <c r="C141" s="170" t="s">
        <v>452</v>
      </c>
      <c r="D141" s="170" t="s">
        <v>129</v>
      </c>
      <c r="E141" s="171" t="s">
        <v>379</v>
      </c>
      <c r="F141" s="172" t="s">
        <v>380</v>
      </c>
      <c r="G141" s="173" t="s">
        <v>136</v>
      </c>
      <c r="H141" s="174">
        <v>335</v>
      </c>
      <c r="I141" s="174"/>
      <c r="J141" s="174">
        <f>ROUND(I141*H141,3)</f>
        <v>0</v>
      </c>
      <c r="K141" s="172" t="s">
        <v>156</v>
      </c>
      <c r="L141" s="132"/>
      <c r="M141" s="175" t="s">
        <v>9</v>
      </c>
      <c r="N141" s="176" t="s">
        <v>27</v>
      </c>
      <c r="O141" s="177">
        <v>0</v>
      </c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AR141" s="128" t="s">
        <v>197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197</v>
      </c>
      <c r="BM141" s="128" t="s">
        <v>376</v>
      </c>
    </row>
    <row r="142" spans="2:65" s="26" customFormat="1" ht="16.5" customHeight="1" x14ac:dyDescent="0.25">
      <c r="B142" s="169"/>
      <c r="C142" s="170"/>
      <c r="D142" s="170"/>
      <c r="E142" s="171"/>
      <c r="F142" s="172" t="s">
        <v>453</v>
      </c>
      <c r="G142" s="173"/>
      <c r="H142" s="174"/>
      <c r="I142" s="174"/>
      <c r="J142" s="174"/>
      <c r="K142" s="172"/>
      <c r="L142" s="132"/>
      <c r="M142" s="175"/>
      <c r="N142" s="176"/>
      <c r="O142" s="177"/>
      <c r="P142" s="177"/>
      <c r="Q142" s="177"/>
      <c r="R142" s="177"/>
      <c r="S142" s="177"/>
      <c r="T142" s="178"/>
      <c r="AR142" s="128"/>
      <c r="AT142" s="128"/>
      <c r="AU142" s="128"/>
      <c r="AY142" s="128"/>
      <c r="BE142" s="138"/>
      <c r="BF142" s="138"/>
      <c r="BG142" s="138"/>
      <c r="BH142" s="138"/>
      <c r="BI142" s="138"/>
      <c r="BJ142" s="128"/>
      <c r="BK142" s="166"/>
      <c r="BL142" s="128"/>
      <c r="BM142" s="128"/>
    </row>
    <row r="143" spans="2:65" s="26" customFormat="1" ht="16.5" customHeight="1" x14ac:dyDescent="0.25">
      <c r="B143" s="169"/>
      <c r="C143" s="170"/>
      <c r="D143" s="170"/>
      <c r="E143" s="171"/>
      <c r="F143" s="172" t="s">
        <v>454</v>
      </c>
      <c r="G143" s="173"/>
      <c r="H143" s="174"/>
      <c r="I143" s="174"/>
      <c r="J143" s="174"/>
      <c r="K143" s="172"/>
      <c r="L143" s="132"/>
      <c r="M143" s="175"/>
      <c r="N143" s="176"/>
      <c r="O143" s="177"/>
      <c r="P143" s="177"/>
      <c r="Q143" s="177"/>
      <c r="R143" s="177"/>
      <c r="S143" s="177"/>
      <c r="T143" s="178"/>
      <c r="AR143" s="128"/>
      <c r="AT143" s="128"/>
      <c r="AU143" s="128"/>
      <c r="AY143" s="128"/>
      <c r="BE143" s="138"/>
      <c r="BF143" s="138"/>
      <c r="BG143" s="138"/>
      <c r="BH143" s="138"/>
      <c r="BI143" s="138"/>
      <c r="BJ143" s="128"/>
      <c r="BK143" s="166"/>
      <c r="BL143" s="128"/>
      <c r="BM143" s="128"/>
    </row>
    <row r="144" spans="2:65" s="26" customFormat="1" ht="16.5" customHeight="1" x14ac:dyDescent="0.25">
      <c r="B144" s="169"/>
      <c r="C144" s="170">
        <v>34</v>
      </c>
      <c r="D144" s="170"/>
      <c r="E144" s="171" t="s">
        <v>381</v>
      </c>
      <c r="F144" s="172" t="s">
        <v>382</v>
      </c>
      <c r="G144" s="173" t="s">
        <v>136</v>
      </c>
      <c r="H144" s="174">
        <f>H141</f>
        <v>335</v>
      </c>
      <c r="I144" s="174"/>
      <c r="J144" s="174">
        <f>ROUND(I144*H144,3)</f>
        <v>0</v>
      </c>
      <c r="K144" s="172"/>
      <c r="L144" s="132"/>
      <c r="M144" s="175"/>
      <c r="N144" s="176"/>
      <c r="O144" s="177"/>
      <c r="P144" s="177"/>
      <c r="Q144" s="177"/>
      <c r="R144" s="177"/>
      <c r="S144" s="177"/>
      <c r="T144" s="178"/>
      <c r="AR144" s="128"/>
      <c r="AT144" s="128"/>
      <c r="AU144" s="128"/>
      <c r="AY144" s="128"/>
      <c r="BE144" s="138"/>
      <c r="BF144" s="138"/>
      <c r="BG144" s="138"/>
      <c r="BH144" s="138"/>
      <c r="BI144" s="138"/>
      <c r="BJ144" s="128"/>
      <c r="BK144" s="166"/>
      <c r="BL144" s="128"/>
      <c r="BM144" s="128"/>
    </row>
    <row r="145" spans="2:65" s="158" customFormat="1" ht="25.9" customHeight="1" x14ac:dyDescent="0.2">
      <c r="B145" s="157"/>
      <c r="D145" s="159" t="s">
        <v>123</v>
      </c>
      <c r="E145" s="160" t="s">
        <v>261</v>
      </c>
      <c r="F145" s="160" t="s">
        <v>383</v>
      </c>
      <c r="J145" s="161">
        <f>J146</f>
        <v>0</v>
      </c>
      <c r="L145" s="157"/>
      <c r="M145" s="162"/>
      <c r="P145" s="163">
        <f>P146</f>
        <v>0.15</v>
      </c>
      <c r="R145" s="163">
        <f>R146</f>
        <v>0</v>
      </c>
      <c r="T145" s="164">
        <f>T146</f>
        <v>0</v>
      </c>
      <c r="AR145" s="159" t="s">
        <v>140</v>
      </c>
      <c r="AT145" s="165" t="s">
        <v>123</v>
      </c>
      <c r="AU145" s="165" t="s">
        <v>39</v>
      </c>
      <c r="AY145" s="159" t="s">
        <v>126</v>
      </c>
      <c r="BK145" s="166">
        <f>BK146</f>
        <v>0</v>
      </c>
    </row>
    <row r="146" spans="2:65" s="158" customFormat="1" ht="22.9" customHeight="1" x14ac:dyDescent="0.2">
      <c r="B146" s="157"/>
      <c r="D146" s="159" t="s">
        <v>123</v>
      </c>
      <c r="E146" s="167" t="s">
        <v>384</v>
      </c>
      <c r="F146" s="167" t="s">
        <v>385</v>
      </c>
      <c r="J146" s="168">
        <f>SUM(J147)</f>
        <v>0</v>
      </c>
      <c r="L146" s="157"/>
      <c r="M146" s="162"/>
      <c r="P146" s="163">
        <f>P147</f>
        <v>0.15</v>
      </c>
      <c r="R146" s="163">
        <f>R147</f>
        <v>0</v>
      </c>
      <c r="T146" s="164">
        <f>T147</f>
        <v>0</v>
      </c>
      <c r="AR146" s="159" t="s">
        <v>140</v>
      </c>
      <c r="AT146" s="165" t="s">
        <v>123</v>
      </c>
      <c r="AU146" s="165" t="s">
        <v>42</v>
      </c>
      <c r="AY146" s="159" t="s">
        <v>126</v>
      </c>
      <c r="BK146" s="166">
        <f>BK147</f>
        <v>0</v>
      </c>
    </row>
    <row r="147" spans="2:65" s="26" customFormat="1" ht="16.5" customHeight="1" x14ac:dyDescent="0.25">
      <c r="B147" s="169"/>
      <c r="C147" s="170">
        <v>35</v>
      </c>
      <c r="D147" s="170" t="s">
        <v>129</v>
      </c>
      <c r="E147" s="171" t="s">
        <v>386</v>
      </c>
      <c r="F147" s="172" t="s">
        <v>387</v>
      </c>
      <c r="G147" s="173" t="s">
        <v>153</v>
      </c>
      <c r="H147" s="174">
        <v>1</v>
      </c>
      <c r="I147" s="174"/>
      <c r="J147" s="174">
        <f>ROUND(I147*H147,3)</f>
        <v>0</v>
      </c>
      <c r="K147" s="172" t="s">
        <v>9</v>
      </c>
      <c r="L147" s="132"/>
      <c r="M147" s="183" t="s">
        <v>9</v>
      </c>
      <c r="N147" s="184" t="s">
        <v>27</v>
      </c>
      <c r="O147" s="185">
        <v>0.15</v>
      </c>
      <c r="P147" s="185">
        <f>O147*H147</f>
        <v>0.15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28" t="s">
        <v>388</v>
      </c>
      <c r="AT147" s="128" t="s">
        <v>129</v>
      </c>
      <c r="AU147" s="128" t="s">
        <v>88</v>
      </c>
      <c r="AY147" s="128" t="s">
        <v>126</v>
      </c>
      <c r="BE147" s="138">
        <f>IF(N147="základná",J147,0)</f>
        <v>0</v>
      </c>
      <c r="BF147" s="138">
        <f>IF(N147="znížená",J147,0)</f>
        <v>0</v>
      </c>
      <c r="BG147" s="138">
        <f>IF(N147="zákl. prenesená",J147,0)</f>
        <v>0</v>
      </c>
      <c r="BH147" s="138">
        <f>IF(N147="zníž. prenesená",J147,0)</f>
        <v>0</v>
      </c>
      <c r="BI147" s="138">
        <f>IF(N147="nulová",J147,0)</f>
        <v>0</v>
      </c>
      <c r="BJ147" s="128" t="s">
        <v>88</v>
      </c>
      <c r="BK147" s="166">
        <f>ROUND(I147*H147,3)</f>
        <v>0</v>
      </c>
      <c r="BL147" s="128" t="s">
        <v>388</v>
      </c>
      <c r="BM147" s="128" t="s">
        <v>389</v>
      </c>
    </row>
    <row r="148" spans="2:65" s="26" customFormat="1" ht="16.5" customHeight="1" x14ac:dyDescent="0.25">
      <c r="B148" s="169"/>
      <c r="C148" s="194"/>
      <c r="D148" s="194"/>
      <c r="E148" s="195"/>
      <c r="F148" s="196"/>
      <c r="G148" s="197"/>
      <c r="H148" s="198"/>
      <c r="I148" s="198"/>
      <c r="J148" s="198"/>
      <c r="K148" s="196"/>
      <c r="L148" s="132"/>
      <c r="M148" s="128"/>
      <c r="N148" s="176"/>
      <c r="O148" s="177"/>
      <c r="P148" s="177"/>
      <c r="Q148" s="177"/>
      <c r="R148" s="177"/>
      <c r="S148" s="177"/>
      <c r="T148" s="177"/>
      <c r="AR148" s="128"/>
      <c r="AT148" s="128"/>
      <c r="AU148" s="128"/>
      <c r="AY148" s="128"/>
      <c r="BE148" s="138"/>
      <c r="BF148" s="138"/>
      <c r="BG148" s="138"/>
      <c r="BH148" s="138"/>
      <c r="BI148" s="138"/>
      <c r="BJ148" s="128"/>
      <c r="BK148" s="166"/>
      <c r="BL148" s="128"/>
      <c r="BM148" s="128"/>
    </row>
    <row r="149" spans="2:65" s="158" customFormat="1" ht="25.9" customHeight="1" x14ac:dyDescent="0.2">
      <c r="B149" s="157"/>
      <c r="D149" s="159"/>
      <c r="E149" s="160"/>
      <c r="F149" s="160" t="s">
        <v>390</v>
      </c>
      <c r="J149" s="161">
        <f>J150</f>
        <v>0</v>
      </c>
      <c r="L149" s="157"/>
      <c r="M149" s="162"/>
      <c r="P149" s="163">
        <f>P150</f>
        <v>0.66</v>
      </c>
      <c r="R149" s="163">
        <f>R150</f>
        <v>0</v>
      </c>
      <c r="T149" s="164">
        <f>T150</f>
        <v>0</v>
      </c>
      <c r="AR149" s="159" t="s">
        <v>140</v>
      </c>
      <c r="AT149" s="165" t="s">
        <v>123</v>
      </c>
      <c r="AU149" s="165" t="s">
        <v>39</v>
      </c>
      <c r="AY149" s="159" t="s">
        <v>126</v>
      </c>
      <c r="BK149" s="166">
        <f>BK150</f>
        <v>0</v>
      </c>
    </row>
    <row r="150" spans="2:65" s="158" customFormat="1" ht="22.9" customHeight="1" x14ac:dyDescent="0.2">
      <c r="B150" s="157"/>
      <c r="D150" s="159" t="s">
        <v>391</v>
      </c>
      <c r="E150" s="167">
        <v>0</v>
      </c>
      <c r="F150" s="167" t="s">
        <v>392</v>
      </c>
      <c r="J150" s="168">
        <f>SUM(J151:J154)</f>
        <v>0</v>
      </c>
      <c r="L150" s="157"/>
      <c r="M150" s="162"/>
      <c r="P150" s="163">
        <f>P151</f>
        <v>0.66</v>
      </c>
      <c r="R150" s="163">
        <f>R151</f>
        <v>0</v>
      </c>
      <c r="T150" s="164">
        <f>T151</f>
        <v>0</v>
      </c>
      <c r="AR150" s="159" t="s">
        <v>140</v>
      </c>
      <c r="AT150" s="165" t="s">
        <v>123</v>
      </c>
      <c r="AU150" s="165" t="s">
        <v>42</v>
      </c>
      <c r="AY150" s="159" t="s">
        <v>126</v>
      </c>
      <c r="BK150" s="166">
        <f>BK151</f>
        <v>0</v>
      </c>
    </row>
    <row r="151" spans="2:65" s="26" customFormat="1" ht="16.5" customHeight="1" x14ac:dyDescent="0.25">
      <c r="B151" s="169"/>
      <c r="C151" s="170">
        <v>36</v>
      </c>
      <c r="D151" s="170" t="s">
        <v>129</v>
      </c>
      <c r="E151" s="171" t="s">
        <v>393</v>
      </c>
      <c r="F151" s="172" t="s">
        <v>394</v>
      </c>
      <c r="G151" s="173" t="s">
        <v>324</v>
      </c>
      <c r="H151" s="174">
        <f>'[1]G montáž - skúška 1.1'!H130</f>
        <v>4.4000000000000004</v>
      </c>
      <c r="I151" s="174"/>
      <c r="J151" s="174">
        <f>ROUND(I151*H151,3)</f>
        <v>0</v>
      </c>
      <c r="K151" s="172" t="s">
        <v>9</v>
      </c>
      <c r="L151" s="132"/>
      <c r="M151" s="183" t="s">
        <v>9</v>
      </c>
      <c r="N151" s="184" t="s">
        <v>27</v>
      </c>
      <c r="O151" s="185">
        <v>0.15</v>
      </c>
      <c r="P151" s="185">
        <f>O151*H151</f>
        <v>0.66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28" t="s">
        <v>388</v>
      </c>
      <c r="AT151" s="128" t="s">
        <v>129</v>
      </c>
      <c r="AU151" s="128" t="s">
        <v>88</v>
      </c>
      <c r="AY151" s="128" t="s">
        <v>126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28" t="s">
        <v>88</v>
      </c>
      <c r="BK151" s="166">
        <f>ROUND(I151*H151,3)</f>
        <v>0</v>
      </c>
      <c r="BL151" s="128" t="s">
        <v>388</v>
      </c>
      <c r="BM151" s="128" t="s">
        <v>389</v>
      </c>
    </row>
    <row r="152" spans="2:65" s="26" customFormat="1" ht="16.5" customHeight="1" x14ac:dyDescent="0.25">
      <c r="B152" s="169"/>
      <c r="C152" s="170">
        <v>37</v>
      </c>
      <c r="D152" s="170" t="s">
        <v>129</v>
      </c>
      <c r="E152" s="171" t="s">
        <v>395</v>
      </c>
      <c r="F152" s="172" t="s">
        <v>396</v>
      </c>
      <c r="G152" s="173" t="s">
        <v>324</v>
      </c>
      <c r="H152" s="174">
        <f>'[1]G montáž - skúška 1.1'!H131</f>
        <v>1</v>
      </c>
      <c r="I152" s="174"/>
      <c r="J152" s="174">
        <f>ROUND(I152*H152,3)</f>
        <v>0</v>
      </c>
      <c r="K152" s="172" t="s">
        <v>9</v>
      </c>
      <c r="L152" s="132"/>
      <c r="M152" s="183" t="s">
        <v>9</v>
      </c>
      <c r="N152" s="184" t="s">
        <v>27</v>
      </c>
      <c r="O152" s="185">
        <v>0.15</v>
      </c>
      <c r="P152" s="185">
        <f>O152*H152</f>
        <v>0.15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AR152" s="128" t="s">
        <v>388</v>
      </c>
      <c r="AT152" s="128" t="s">
        <v>129</v>
      </c>
      <c r="AU152" s="128" t="s">
        <v>88</v>
      </c>
      <c r="AY152" s="128" t="s">
        <v>126</v>
      </c>
      <c r="BE152" s="138">
        <f>IF(N152="základná",J152,0)</f>
        <v>0</v>
      </c>
      <c r="BF152" s="138">
        <f>IF(N152="znížená",J152,0)</f>
        <v>0</v>
      </c>
      <c r="BG152" s="138">
        <f>IF(N152="zákl. prenesená",J152,0)</f>
        <v>0</v>
      </c>
      <c r="BH152" s="138">
        <f>IF(N152="zníž. prenesená",J152,0)</f>
        <v>0</v>
      </c>
      <c r="BI152" s="138">
        <f>IF(N152="nulová",J152,0)</f>
        <v>0</v>
      </c>
      <c r="BJ152" s="128" t="s">
        <v>88</v>
      </c>
      <c r="BK152" s="166">
        <f>ROUND(I152*H152,3)</f>
        <v>0</v>
      </c>
      <c r="BL152" s="128" t="s">
        <v>388</v>
      </c>
      <c r="BM152" s="128" t="s">
        <v>389</v>
      </c>
    </row>
    <row r="153" spans="2:65" s="26" customFormat="1" ht="16.5" customHeight="1" x14ac:dyDescent="0.25">
      <c r="B153" s="169"/>
      <c r="C153" s="170">
        <v>38</v>
      </c>
      <c r="D153" s="170" t="s">
        <v>129</v>
      </c>
      <c r="E153" s="171" t="s">
        <v>397</v>
      </c>
      <c r="F153" s="172" t="s">
        <v>398</v>
      </c>
      <c r="G153" s="173" t="s">
        <v>399</v>
      </c>
      <c r="H153" s="174">
        <f>H102*0.15</f>
        <v>752.91300000000001</v>
      </c>
      <c r="I153" s="174"/>
      <c r="J153" s="174">
        <f>ROUND(I153*H153,3)</f>
        <v>0</v>
      </c>
      <c r="K153" s="172"/>
      <c r="L153" s="132"/>
      <c r="M153" s="183"/>
      <c r="N153" s="184"/>
      <c r="O153" s="185"/>
      <c r="P153" s="185"/>
      <c r="Q153" s="185"/>
      <c r="R153" s="185"/>
      <c r="S153" s="185"/>
      <c r="T153" s="186"/>
      <c r="AR153" s="128"/>
      <c r="AT153" s="128"/>
      <c r="AU153" s="128"/>
      <c r="AY153" s="128"/>
      <c r="BE153" s="138"/>
      <c r="BF153" s="138"/>
      <c r="BG153" s="138"/>
      <c r="BH153" s="138"/>
      <c r="BI153" s="138"/>
      <c r="BJ153" s="128"/>
      <c r="BK153" s="166"/>
      <c r="BL153" s="128"/>
      <c r="BM153" s="128"/>
    </row>
    <row r="154" spans="2:65" s="26" customFormat="1" ht="16.5" customHeight="1" x14ac:dyDescent="0.25">
      <c r="B154" s="169"/>
      <c r="C154" s="170">
        <v>39</v>
      </c>
      <c r="D154" s="170" t="s">
        <v>129</v>
      </c>
      <c r="E154" s="171" t="s">
        <v>397</v>
      </c>
      <c r="F154" s="172" t="s">
        <v>401</v>
      </c>
      <c r="G154" s="173" t="s">
        <v>324</v>
      </c>
      <c r="H154" s="174">
        <f>'[1]G montáž - skúška 1.1'!H133</f>
        <v>12.1</v>
      </c>
      <c r="I154" s="174"/>
      <c r="J154" s="174">
        <f>ROUND(I154*H154,3)</f>
        <v>0</v>
      </c>
      <c r="K154" s="172" t="s">
        <v>9</v>
      </c>
      <c r="L154" s="132"/>
      <c r="M154" s="183" t="s">
        <v>9</v>
      </c>
      <c r="N154" s="184" t="s">
        <v>27</v>
      </c>
      <c r="O154" s="185">
        <v>0.15</v>
      </c>
      <c r="P154" s="185">
        <f>O154*H154</f>
        <v>1.8149999999999999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AR154" s="128" t="s">
        <v>388</v>
      </c>
      <c r="AT154" s="128" t="s">
        <v>129</v>
      </c>
      <c r="AU154" s="128" t="s">
        <v>88</v>
      </c>
      <c r="AY154" s="128" t="s">
        <v>126</v>
      </c>
      <c r="BE154" s="138">
        <f>IF(N154="základná",J154,0)</f>
        <v>0</v>
      </c>
      <c r="BF154" s="138">
        <f>IF(N154="znížená",J154,0)</f>
        <v>0</v>
      </c>
      <c r="BG154" s="138">
        <f>IF(N154="zákl. prenesená",J154,0)</f>
        <v>0</v>
      </c>
      <c r="BH154" s="138">
        <f>IF(N154="zníž. prenesená",J154,0)</f>
        <v>0</v>
      </c>
      <c r="BI154" s="138">
        <f>IF(N154="nulová",J154,0)</f>
        <v>0</v>
      </c>
      <c r="BJ154" s="128" t="s">
        <v>88</v>
      </c>
      <c r="BK154" s="166">
        <f>ROUND(I154*H154,3)</f>
        <v>0</v>
      </c>
      <c r="BL154" s="128" t="s">
        <v>388</v>
      </c>
      <c r="BM154" s="128" t="s">
        <v>389</v>
      </c>
    </row>
    <row r="155" spans="2:65" s="26" customFormat="1" ht="6.95" customHeight="1" x14ac:dyDescent="0.25">
      <c r="B155" s="141"/>
      <c r="C155" s="36"/>
      <c r="D155" s="36"/>
      <c r="E155" s="36"/>
      <c r="F155" s="36"/>
      <c r="G155" s="36"/>
      <c r="H155" s="36"/>
      <c r="I155" s="36"/>
      <c r="J155" s="36"/>
      <c r="K155" s="36"/>
      <c r="L155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topLeftCell="A79" workbookViewId="0">
      <selection activeCell="I89" sqref="I89:I146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73</v>
      </c>
      <c r="AZ2" s="128" t="s">
        <v>85</v>
      </c>
      <c r="BA2" s="128" t="s">
        <v>86</v>
      </c>
      <c r="BB2" s="128" t="s">
        <v>9</v>
      </c>
      <c r="BC2" s="128" t="s">
        <v>613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90</v>
      </c>
      <c r="BA3" s="128" t="s">
        <v>94</v>
      </c>
      <c r="BB3" s="128" t="s">
        <v>9</v>
      </c>
      <c r="BC3" s="128" t="s">
        <v>614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615</v>
      </c>
      <c r="BA4" s="128" t="s">
        <v>616</v>
      </c>
      <c r="BB4" s="128" t="s">
        <v>9</v>
      </c>
      <c r="BC4" s="128" t="s">
        <v>617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72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ROUND((SUM(BE86:BE143)),  2)</f>
        <v>0</v>
      </c>
      <c r="I33" s="139">
        <v>0.2</v>
      </c>
      <c r="J33" s="138">
        <f>ROUND(((SUM(BE86:BE143))*I33),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ROUND((SUM(BF86:BF143)),  2)</f>
        <v>0</v>
      </c>
      <c r="I34" s="139">
        <v>0.2</v>
      </c>
      <c r="J34" s="138">
        <f>ROUND(((SUM(BF86:BF143))*I34),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ROUND((SUM(BG86:BG143)),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ROUND((SUM(BH86:BH143)),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ROUND((SUM(BI86:BI143)),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J- demontáž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J124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J125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J137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J142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618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J87+J124</f>
        <v>0</v>
      </c>
      <c r="L86" s="132"/>
      <c r="M86" s="153"/>
      <c r="N86" s="134"/>
      <c r="O86" s="134"/>
      <c r="P86" s="154">
        <f>P87+P124</f>
        <v>2472.93647237</v>
      </c>
      <c r="Q86" s="134"/>
      <c r="R86" s="154">
        <f>R87+R124</f>
        <v>34.444166410000001</v>
      </c>
      <c r="S86" s="134"/>
      <c r="T86" s="155">
        <f>T87+T124</f>
        <v>69.552608000000006</v>
      </c>
      <c r="AT86" s="128" t="s">
        <v>123</v>
      </c>
      <c r="AU86" s="128" t="s">
        <v>101</v>
      </c>
      <c r="BK86" s="156">
        <f>BK87+BK124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>
        <f>P88+P91</f>
        <v>1379.3423343700001</v>
      </c>
      <c r="R87" s="163">
        <f>R88+R91</f>
        <v>32.878086410000002</v>
      </c>
      <c r="T87" s="164">
        <f>T88+T91</f>
        <v>0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>
        <f>SUM(P89:P90)</f>
        <v>683.05577197000002</v>
      </c>
      <c r="R88" s="163">
        <f>SUM(R89:R90)</f>
        <v>32.878086410000002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509*1.1*0.1*1.15</f>
        <v>64.388500000000008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27.636831970000003</v>
      </c>
      <c r="Q89" s="177">
        <v>2.0660000000000001E-2</v>
      </c>
      <c r="R89" s="177">
        <f>Q89*H89</f>
        <v>1.3302664100000003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1527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655.41894000000002</v>
      </c>
      <c r="Q90" s="177">
        <v>2.0660000000000001E-2</v>
      </c>
      <c r="R90" s="177">
        <f>Q90*H90</f>
        <v>31.547820000000002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SUM(J92:J122)</f>
        <v>0</v>
      </c>
      <c r="L91" s="157"/>
      <c r="M91" s="162"/>
      <c r="P91" s="163">
        <f>SUM(P96:P123)</f>
        <v>696.28656240000009</v>
      </c>
      <c r="R91" s="163">
        <f>SUM(R96:R123)</f>
        <v>0</v>
      </c>
      <c r="T91" s="164">
        <f>SUM(T96:T123)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SUM(BK96:BK123)</f>
        <v>0</v>
      </c>
    </row>
    <row r="92" spans="2:65" s="26" customFormat="1" ht="16.5" customHeight="1" x14ac:dyDescent="0.25">
      <c r="B92" s="169"/>
      <c r="C92" s="170">
        <v>3</v>
      </c>
      <c r="D92" s="170"/>
      <c r="E92" s="171" t="s">
        <v>144</v>
      </c>
      <c r="F92" s="172" t="s">
        <v>145</v>
      </c>
      <c r="G92" s="173" t="s">
        <v>146</v>
      </c>
      <c r="H92" s="174">
        <f>H96+H105+H115</f>
        <v>202.88070000000005</v>
      </c>
      <c r="I92" s="174"/>
      <c r="J92" s="174">
        <f>ROUND(I92*H92,3)</f>
        <v>0</v>
      </c>
      <c r="K92" s="172"/>
      <c r="L92" s="132"/>
      <c r="M92" s="175"/>
      <c r="N92" s="176"/>
      <c r="O92" s="177"/>
      <c r="P92" s="177"/>
      <c r="Q92" s="177"/>
      <c r="R92" s="177"/>
      <c r="S92" s="177"/>
      <c r="T92" s="178"/>
      <c r="AR92" s="128"/>
      <c r="AT92" s="128"/>
      <c r="AU92" s="128"/>
      <c r="AY92" s="128"/>
      <c r="BE92" s="138"/>
      <c r="BF92" s="138"/>
      <c r="BG92" s="138"/>
      <c r="BH92" s="138"/>
      <c r="BI92" s="138"/>
      <c r="BJ92" s="128"/>
      <c r="BK92" s="166"/>
      <c r="BL92" s="128"/>
      <c r="BM92" s="128"/>
    </row>
    <row r="93" spans="2:65" s="26" customFormat="1" ht="16.5" customHeight="1" x14ac:dyDescent="0.25">
      <c r="B93" s="169"/>
      <c r="C93" s="170">
        <v>4</v>
      </c>
      <c r="D93" s="170"/>
      <c r="E93" s="171" t="s">
        <v>148</v>
      </c>
      <c r="F93" s="172" t="s">
        <v>149</v>
      </c>
      <c r="G93" s="173" t="s">
        <v>146</v>
      </c>
      <c r="H93" s="174">
        <f>H92*10</f>
        <v>2028.8070000000005</v>
      </c>
      <c r="I93" s="174"/>
      <c r="J93" s="174">
        <f t="shared" ref="J93:J95" si="0">ROUND(I93*H93,3)</f>
        <v>0</v>
      </c>
      <c r="K93" s="172"/>
      <c r="L93" s="132"/>
      <c r="M93" s="175"/>
      <c r="N93" s="176"/>
      <c r="O93" s="177"/>
      <c r="P93" s="177"/>
      <c r="Q93" s="177"/>
      <c r="R93" s="177"/>
      <c r="S93" s="177"/>
      <c r="T93" s="178"/>
      <c r="AR93" s="128"/>
      <c r="AT93" s="128"/>
      <c r="AU93" s="128"/>
      <c r="AY93" s="128"/>
      <c r="BE93" s="138"/>
      <c r="BF93" s="138"/>
      <c r="BG93" s="138"/>
      <c r="BH93" s="138"/>
      <c r="BI93" s="138"/>
      <c r="BJ93" s="128"/>
      <c r="BK93" s="166"/>
      <c r="BL93" s="128"/>
      <c r="BM93" s="128"/>
    </row>
    <row r="94" spans="2:65" s="26" customFormat="1" ht="16.5" customHeight="1" x14ac:dyDescent="0.25">
      <c r="B94" s="169"/>
      <c r="C94" s="170"/>
      <c r="D94" s="170"/>
      <c r="E94" s="171"/>
      <c r="F94" s="172" t="s">
        <v>150</v>
      </c>
      <c r="G94" s="197"/>
      <c r="H94" s="174"/>
      <c r="I94" s="174"/>
      <c r="J94" s="174">
        <f t="shared" si="0"/>
        <v>0</v>
      </c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/>
      <c r="BL94" s="128"/>
      <c r="BM94" s="128"/>
    </row>
    <row r="95" spans="2:65" s="26" customFormat="1" ht="16.5" customHeight="1" x14ac:dyDescent="0.25">
      <c r="B95" s="169"/>
      <c r="C95" s="170">
        <v>5</v>
      </c>
      <c r="D95" s="170"/>
      <c r="E95" s="171" t="s">
        <v>151</v>
      </c>
      <c r="F95" s="172" t="s">
        <v>152</v>
      </c>
      <c r="G95" s="197" t="s">
        <v>153</v>
      </c>
      <c r="H95" s="174">
        <v>1</v>
      </c>
      <c r="I95" s="174"/>
      <c r="J95" s="174">
        <f t="shared" si="0"/>
        <v>0</v>
      </c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16.5" customHeight="1" x14ac:dyDescent="0.25">
      <c r="B96" s="169"/>
      <c r="C96" s="170">
        <v>6</v>
      </c>
      <c r="D96" s="170" t="s">
        <v>129</v>
      </c>
      <c r="E96" s="171" t="s">
        <v>154</v>
      </c>
      <c r="F96" s="172" t="s">
        <v>155</v>
      </c>
      <c r="G96" s="173" t="s">
        <v>146</v>
      </c>
      <c r="H96" s="174">
        <v>60.426000000000002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</v>
      </c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157</v>
      </c>
    </row>
    <row r="97" spans="2:65" s="26" customFormat="1" ht="16.5" customHeight="1" x14ac:dyDescent="0.25">
      <c r="B97" s="169"/>
      <c r="C97" s="170">
        <v>7</v>
      </c>
      <c r="D97" s="170" t="s">
        <v>129</v>
      </c>
      <c r="E97" s="171" t="s">
        <v>158</v>
      </c>
      <c r="F97" s="172" t="s">
        <v>159</v>
      </c>
      <c r="G97" s="173" t="s">
        <v>146</v>
      </c>
      <c r="H97" s="174">
        <v>60.426000000000002</v>
      </c>
      <c r="I97" s="174"/>
      <c r="J97" s="174">
        <f>ROUND(I97*H97,3)</f>
        <v>0</v>
      </c>
      <c r="K97" s="172" t="s">
        <v>9</v>
      </c>
      <c r="L97" s="132"/>
      <c r="M97" s="175" t="s">
        <v>9</v>
      </c>
      <c r="N97" s="176" t="s">
        <v>27</v>
      </c>
      <c r="O97" s="177">
        <v>0.88200000000000001</v>
      </c>
      <c r="P97" s="177">
        <f>O97*H97</f>
        <v>53.295732000000001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160</v>
      </c>
    </row>
    <row r="98" spans="2:65" s="26" customFormat="1" x14ac:dyDescent="0.25">
      <c r="B98" s="132"/>
      <c r="D98" s="179" t="s">
        <v>161</v>
      </c>
      <c r="E98" s="128" t="s">
        <v>9</v>
      </c>
      <c r="F98" s="143" t="s">
        <v>162</v>
      </c>
      <c r="H98" s="166">
        <v>60.426000000000002</v>
      </c>
      <c r="L98" s="132"/>
      <c r="M98" s="180"/>
      <c r="T98" s="181"/>
      <c r="AT98" s="128" t="s">
        <v>161</v>
      </c>
      <c r="AU98" s="128" t="s">
        <v>88</v>
      </c>
      <c r="AV98" s="26" t="s">
        <v>88</v>
      </c>
      <c r="AW98" s="26" t="s">
        <v>163</v>
      </c>
      <c r="AX98" s="26" t="s">
        <v>42</v>
      </c>
      <c r="AY98" s="128" t="s">
        <v>126</v>
      </c>
    </row>
    <row r="99" spans="2:65" s="26" customFormat="1" ht="16.5" customHeight="1" x14ac:dyDescent="0.25">
      <c r="B99" s="169"/>
      <c r="C99" s="170">
        <v>8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H96*3</f>
        <v>181.27800000000002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0.61799999999999999</v>
      </c>
      <c r="P99" s="177">
        <f>O99*H99</f>
        <v>112.02980400000001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166</v>
      </c>
    </row>
    <row r="100" spans="2:65" s="26" customFormat="1" x14ac:dyDescent="0.25">
      <c r="B100" s="132"/>
      <c r="D100" s="179" t="s">
        <v>161</v>
      </c>
      <c r="E100" s="128" t="s">
        <v>9</v>
      </c>
      <c r="F100" s="143" t="s">
        <v>560</v>
      </c>
      <c r="H100" s="166"/>
      <c r="L100" s="132"/>
      <c r="M100" s="180"/>
      <c r="T100" s="181"/>
      <c r="AT100" s="128" t="s">
        <v>161</v>
      </c>
      <c r="AU100" s="128" t="s">
        <v>88</v>
      </c>
      <c r="AV100" s="26" t="s">
        <v>88</v>
      </c>
      <c r="AW100" s="26" t="s">
        <v>163</v>
      </c>
      <c r="AX100" s="26" t="s">
        <v>42</v>
      </c>
      <c r="AY100" s="128" t="s">
        <v>126</v>
      </c>
    </row>
    <row r="101" spans="2:65" s="26" customFormat="1" ht="16.5" customHeight="1" x14ac:dyDescent="0.25">
      <c r="B101" s="169"/>
      <c r="C101" s="170">
        <v>9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v>60.426000000000002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0.59799999999999998</v>
      </c>
      <c r="P101" s="177">
        <f>O101*H101</f>
        <v>36.134748000000002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132</v>
      </c>
      <c r="BM101" s="128" t="s">
        <v>169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162</v>
      </c>
      <c r="H102" s="166">
        <v>60.426000000000002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16.5" customHeight="1" x14ac:dyDescent="0.25">
      <c r="B103" s="169"/>
      <c r="C103" s="170">
        <v>10</v>
      </c>
      <c r="D103" s="170" t="s">
        <v>129</v>
      </c>
      <c r="E103" s="171" t="s">
        <v>170</v>
      </c>
      <c r="F103" s="172" t="s">
        <v>171</v>
      </c>
      <c r="G103" s="173" t="s">
        <v>146</v>
      </c>
      <c r="H103" s="174">
        <v>845.96400000000006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7.0000000000000001E-3</v>
      </c>
      <c r="P103" s="177">
        <f>O103*H103</f>
        <v>5.9217480000000009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128" t="s">
        <v>132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132</v>
      </c>
      <c r="BM103" s="128" t="s">
        <v>172</v>
      </c>
    </row>
    <row r="104" spans="2:65" s="26" customFormat="1" x14ac:dyDescent="0.25">
      <c r="B104" s="132"/>
      <c r="D104" s="179" t="s">
        <v>161</v>
      </c>
      <c r="E104" s="128" t="s">
        <v>9</v>
      </c>
      <c r="F104" s="143" t="s">
        <v>173</v>
      </c>
      <c r="H104" s="166">
        <v>845.96400000000006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163</v>
      </c>
      <c r="AX104" s="26" t="s">
        <v>42</v>
      </c>
      <c r="AY104" s="128" t="s">
        <v>126</v>
      </c>
    </row>
    <row r="105" spans="2:65" s="26" customFormat="1" ht="16.5" customHeight="1" x14ac:dyDescent="0.25">
      <c r="B105" s="169"/>
      <c r="C105" s="170">
        <v>11</v>
      </c>
      <c r="D105" s="170" t="s">
        <v>129</v>
      </c>
      <c r="E105" s="171" t="s">
        <v>174</v>
      </c>
      <c r="F105" s="172" t="s">
        <v>175</v>
      </c>
      <c r="G105" s="173" t="s">
        <v>146</v>
      </c>
      <c r="H105" s="174">
        <f>H89*2.2</f>
        <v>141.65470000000002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</v>
      </c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176</v>
      </c>
    </row>
    <row r="106" spans="2:65" s="26" customFormat="1" ht="16.5" customHeight="1" x14ac:dyDescent="0.25">
      <c r="B106" s="169"/>
      <c r="C106" s="170">
        <v>12</v>
      </c>
      <c r="D106" s="170" t="s">
        <v>129</v>
      </c>
      <c r="E106" s="171" t="s">
        <v>158</v>
      </c>
      <c r="F106" s="172" t="s">
        <v>159</v>
      </c>
      <c r="G106" s="173" t="s">
        <v>146</v>
      </c>
      <c r="H106" s="174">
        <f>H105</f>
        <v>141.65470000000002</v>
      </c>
      <c r="I106" s="174"/>
      <c r="J106" s="174">
        <f>ROUND(I106*H106,3)</f>
        <v>0</v>
      </c>
      <c r="K106" s="172" t="s">
        <v>9</v>
      </c>
      <c r="L106" s="132"/>
      <c r="M106" s="175" t="s">
        <v>9</v>
      </c>
      <c r="N106" s="176" t="s">
        <v>27</v>
      </c>
      <c r="O106" s="177">
        <v>0.88200000000000001</v>
      </c>
      <c r="P106" s="177">
        <f>O106*H106</f>
        <v>124.93944540000003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177</v>
      </c>
    </row>
    <row r="107" spans="2:65" s="26" customFormat="1" x14ac:dyDescent="0.25">
      <c r="B107" s="132"/>
      <c r="D107" s="179" t="s">
        <v>161</v>
      </c>
      <c r="E107" s="128" t="s">
        <v>9</v>
      </c>
      <c r="F107" s="143" t="s">
        <v>615</v>
      </c>
      <c r="H107" s="166"/>
      <c r="L107" s="132"/>
      <c r="M107" s="180"/>
      <c r="T107" s="181"/>
      <c r="AT107" s="128" t="s">
        <v>161</v>
      </c>
      <c r="AU107" s="128" t="s">
        <v>88</v>
      </c>
      <c r="AV107" s="26" t="s">
        <v>88</v>
      </c>
      <c r="AW107" s="26" t="s">
        <v>163</v>
      </c>
      <c r="AX107" s="26" t="s">
        <v>42</v>
      </c>
      <c r="AY107" s="128" t="s">
        <v>126</v>
      </c>
    </row>
    <row r="108" spans="2:65" s="26" customFormat="1" ht="16.5" customHeight="1" x14ac:dyDescent="0.25">
      <c r="B108" s="169"/>
      <c r="C108" s="170">
        <v>13</v>
      </c>
      <c r="D108" s="170" t="s">
        <v>129</v>
      </c>
      <c r="E108" s="171" t="s">
        <v>164</v>
      </c>
      <c r="F108" s="172" t="s">
        <v>165</v>
      </c>
      <c r="G108" s="173" t="s">
        <v>146</v>
      </c>
      <c r="H108" s="174">
        <f>H106*3</f>
        <v>424.96410000000003</v>
      </c>
      <c r="I108" s="174"/>
      <c r="J108" s="174">
        <f>ROUND(I108*H108,3)</f>
        <v>0</v>
      </c>
      <c r="K108" s="172" t="s">
        <v>156</v>
      </c>
      <c r="L108" s="132"/>
      <c r="M108" s="175" t="s">
        <v>9</v>
      </c>
      <c r="N108" s="176" t="s">
        <v>27</v>
      </c>
      <c r="O108" s="177">
        <v>0.61799999999999999</v>
      </c>
      <c r="P108" s="177">
        <f>O108*H108</f>
        <v>262.62781380000001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132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132</v>
      </c>
      <c r="BM108" s="128" t="s">
        <v>178</v>
      </c>
    </row>
    <row r="109" spans="2:65" s="26" customFormat="1" x14ac:dyDescent="0.25">
      <c r="B109" s="132"/>
      <c r="D109" s="179" t="s">
        <v>161</v>
      </c>
      <c r="E109" s="128" t="s">
        <v>9</v>
      </c>
      <c r="F109" s="143" t="s">
        <v>619</v>
      </c>
      <c r="H109" s="166"/>
      <c r="L109" s="132"/>
      <c r="M109" s="180"/>
      <c r="T109" s="181"/>
      <c r="AT109" s="128" t="s">
        <v>161</v>
      </c>
      <c r="AU109" s="128" t="s">
        <v>88</v>
      </c>
      <c r="AV109" s="26" t="s">
        <v>88</v>
      </c>
      <c r="AW109" s="26" t="s">
        <v>163</v>
      </c>
      <c r="AX109" s="26" t="s">
        <v>42</v>
      </c>
      <c r="AY109" s="128" t="s">
        <v>126</v>
      </c>
    </row>
    <row r="110" spans="2:65" s="26" customFormat="1" ht="16.5" customHeight="1" x14ac:dyDescent="0.25">
      <c r="B110" s="169"/>
      <c r="C110" s="170">
        <v>14</v>
      </c>
      <c r="D110" s="170" t="s">
        <v>129</v>
      </c>
      <c r="E110" s="171" t="s">
        <v>167</v>
      </c>
      <c r="F110" s="172" t="s">
        <v>168</v>
      </c>
      <c r="G110" s="173" t="s">
        <v>146</v>
      </c>
      <c r="H110" s="174">
        <f>H105</f>
        <v>141.65470000000002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0.59799999999999998</v>
      </c>
      <c r="P110" s="177">
        <f>O110*H110</f>
        <v>84.709510600000002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179</v>
      </c>
    </row>
    <row r="111" spans="2:65" s="26" customFormat="1" x14ac:dyDescent="0.25">
      <c r="B111" s="132"/>
      <c r="D111" s="179" t="s">
        <v>161</v>
      </c>
      <c r="E111" s="128" t="s">
        <v>9</v>
      </c>
      <c r="F111" s="143" t="s">
        <v>615</v>
      </c>
      <c r="H111" s="166"/>
      <c r="L111" s="132"/>
      <c r="M111" s="180"/>
      <c r="T111" s="181"/>
      <c r="AT111" s="128" t="s">
        <v>161</v>
      </c>
      <c r="AU111" s="128" t="s">
        <v>88</v>
      </c>
      <c r="AV111" s="26" t="s">
        <v>88</v>
      </c>
      <c r="AW111" s="26" t="s">
        <v>163</v>
      </c>
      <c r="AX111" s="26" t="s">
        <v>42</v>
      </c>
      <c r="AY111" s="128" t="s">
        <v>126</v>
      </c>
    </row>
    <row r="112" spans="2:65" s="26" customFormat="1" ht="16.5" customHeight="1" x14ac:dyDescent="0.25">
      <c r="B112" s="169"/>
      <c r="C112" s="170">
        <v>15</v>
      </c>
      <c r="D112" s="170" t="s">
        <v>129</v>
      </c>
      <c r="E112" s="171" t="s">
        <v>170</v>
      </c>
      <c r="F112" s="172" t="s">
        <v>171</v>
      </c>
      <c r="G112" s="173" t="s">
        <v>146</v>
      </c>
      <c r="H112" s="174">
        <f>H105*14</f>
        <v>1983.1658000000002</v>
      </c>
      <c r="I112" s="174"/>
      <c r="J112" s="174">
        <f>ROUND(I112*H112,3)</f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7.0000000000000001E-3</v>
      </c>
      <c r="P112" s="177">
        <f>O112*H112</f>
        <v>13.882160600000002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180</v>
      </c>
    </row>
    <row r="113" spans="2:65" s="26" customFormat="1" x14ac:dyDescent="0.25">
      <c r="B113" s="132"/>
      <c r="D113" s="179" t="s">
        <v>161</v>
      </c>
      <c r="E113" s="128" t="s">
        <v>9</v>
      </c>
      <c r="F113" s="143" t="s">
        <v>620</v>
      </c>
      <c r="H113" s="166"/>
      <c r="L113" s="132"/>
      <c r="M113" s="180"/>
      <c r="T113" s="181"/>
      <c r="AT113" s="128" t="s">
        <v>161</v>
      </c>
      <c r="AU113" s="128" t="s">
        <v>88</v>
      </c>
      <c r="AV113" s="26" t="s">
        <v>88</v>
      </c>
      <c r="AW113" s="26" t="s">
        <v>163</v>
      </c>
      <c r="AX113" s="26" t="s">
        <v>42</v>
      </c>
      <c r="AY113" s="128" t="s">
        <v>126</v>
      </c>
    </row>
    <row r="114" spans="2:65" s="26" customFormat="1" ht="16.5" customHeight="1" x14ac:dyDescent="0.25">
      <c r="B114" s="169"/>
      <c r="C114" s="170">
        <v>16</v>
      </c>
      <c r="D114" s="170" t="s">
        <v>129</v>
      </c>
      <c r="E114" s="171" t="s">
        <v>182</v>
      </c>
      <c r="F114" s="172" t="s">
        <v>183</v>
      </c>
      <c r="G114" s="173" t="s">
        <v>146</v>
      </c>
      <c r="H114" s="174">
        <v>0.8</v>
      </c>
      <c r="I114" s="174"/>
      <c r="J114" s="174">
        <f>ROUND(I114*H114,3)</f>
        <v>0</v>
      </c>
      <c r="K114" s="172" t="s">
        <v>156</v>
      </c>
      <c r="L114" s="132"/>
      <c r="M114" s="175" t="s">
        <v>9</v>
      </c>
      <c r="N114" s="176" t="s">
        <v>27</v>
      </c>
      <c r="O114" s="177">
        <v>0</v>
      </c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28" t="s">
        <v>132</v>
      </c>
      <c r="AT114" s="128" t="s">
        <v>129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132</v>
      </c>
      <c r="BM114" s="128" t="s">
        <v>184</v>
      </c>
    </row>
    <row r="115" spans="2:65" s="26" customFormat="1" x14ac:dyDescent="0.25">
      <c r="B115" s="132"/>
      <c r="D115" s="179" t="s">
        <v>161</v>
      </c>
      <c r="E115" s="128" t="s">
        <v>90</v>
      </c>
      <c r="F115" s="143" t="s">
        <v>614</v>
      </c>
      <c r="H115" s="166">
        <v>0.8</v>
      </c>
      <c r="L115" s="132"/>
      <c r="M115" s="180"/>
      <c r="T115" s="181"/>
      <c r="AT115" s="128" t="s">
        <v>161</v>
      </c>
      <c r="AU115" s="128" t="s">
        <v>88</v>
      </c>
      <c r="AV115" s="26" t="s">
        <v>88</v>
      </c>
      <c r="AW115" s="26" t="s">
        <v>163</v>
      </c>
      <c r="AX115" s="26" t="s">
        <v>42</v>
      </c>
      <c r="AY115" s="128" t="s">
        <v>126</v>
      </c>
    </row>
    <row r="116" spans="2:65" s="26" customFormat="1" ht="16.5" customHeight="1" x14ac:dyDescent="0.25">
      <c r="B116" s="169"/>
      <c r="C116" s="170">
        <v>17</v>
      </c>
      <c r="D116" s="170" t="s">
        <v>129</v>
      </c>
      <c r="E116" s="171" t="s">
        <v>158</v>
      </c>
      <c r="F116" s="172" t="s">
        <v>159</v>
      </c>
      <c r="G116" s="173" t="s">
        <v>146</v>
      </c>
      <c r="H116" s="174">
        <v>0.8</v>
      </c>
      <c r="I116" s="174"/>
      <c r="J116" s="174">
        <f>ROUND(I116*H116,3)</f>
        <v>0</v>
      </c>
      <c r="K116" s="172" t="s">
        <v>9</v>
      </c>
      <c r="L116" s="132"/>
      <c r="M116" s="175" t="s">
        <v>9</v>
      </c>
      <c r="N116" s="176" t="s">
        <v>27</v>
      </c>
      <c r="O116" s="177">
        <v>0.88200000000000001</v>
      </c>
      <c r="P116" s="177">
        <f>O116*H116</f>
        <v>0.7056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28" t="s">
        <v>132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132</v>
      </c>
      <c r="BM116" s="128" t="s">
        <v>185</v>
      </c>
    </row>
    <row r="117" spans="2:65" s="26" customFormat="1" x14ac:dyDescent="0.25">
      <c r="B117" s="132"/>
      <c r="D117" s="179" t="s">
        <v>161</v>
      </c>
      <c r="E117" s="128" t="s">
        <v>9</v>
      </c>
      <c r="F117" s="143" t="s">
        <v>90</v>
      </c>
      <c r="H117" s="166">
        <v>0.8</v>
      </c>
      <c r="L117" s="132"/>
      <c r="M117" s="180"/>
      <c r="T117" s="181"/>
      <c r="AT117" s="128" t="s">
        <v>161</v>
      </c>
      <c r="AU117" s="128" t="s">
        <v>88</v>
      </c>
      <c r="AV117" s="26" t="s">
        <v>88</v>
      </c>
      <c r="AW117" s="26" t="s">
        <v>163</v>
      </c>
      <c r="AX117" s="26" t="s">
        <v>42</v>
      </c>
      <c r="AY117" s="128" t="s">
        <v>126</v>
      </c>
    </row>
    <row r="118" spans="2:65" s="26" customFormat="1" ht="16.5" customHeight="1" x14ac:dyDescent="0.25">
      <c r="B118" s="169"/>
      <c r="C118" s="170">
        <v>18</v>
      </c>
      <c r="D118" s="170" t="s">
        <v>129</v>
      </c>
      <c r="E118" s="171" t="s">
        <v>164</v>
      </c>
      <c r="F118" s="172" t="s">
        <v>165</v>
      </c>
      <c r="G118" s="173" t="s">
        <v>146</v>
      </c>
      <c r="H118" s="174">
        <f>H114*3</f>
        <v>2.4000000000000004</v>
      </c>
      <c r="I118" s="174"/>
      <c r="J118" s="174">
        <f>ROUND(I118*H118,3)</f>
        <v>0</v>
      </c>
      <c r="K118" s="172" t="s">
        <v>9</v>
      </c>
      <c r="L118" s="132"/>
      <c r="M118" s="175" t="s">
        <v>9</v>
      </c>
      <c r="N118" s="176" t="s">
        <v>27</v>
      </c>
      <c r="O118" s="177">
        <v>0.61799999999999999</v>
      </c>
      <c r="P118" s="177">
        <f>O118*H118</f>
        <v>1.4832000000000003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28" t="s">
        <v>132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132</v>
      </c>
      <c r="BM118" s="128" t="s">
        <v>186</v>
      </c>
    </row>
    <row r="119" spans="2:65" s="26" customFormat="1" x14ac:dyDescent="0.25">
      <c r="B119" s="132"/>
      <c r="D119" s="179" t="s">
        <v>161</v>
      </c>
      <c r="E119" s="128" t="s">
        <v>9</v>
      </c>
      <c r="F119" s="143" t="s">
        <v>621</v>
      </c>
      <c r="H119" s="166"/>
      <c r="L119" s="132"/>
      <c r="M119" s="180"/>
      <c r="T119" s="181"/>
      <c r="AT119" s="128" t="s">
        <v>161</v>
      </c>
      <c r="AU119" s="128" t="s">
        <v>88</v>
      </c>
      <c r="AV119" s="26" t="s">
        <v>88</v>
      </c>
      <c r="AW119" s="26" t="s">
        <v>163</v>
      </c>
      <c r="AX119" s="26" t="s">
        <v>42</v>
      </c>
      <c r="AY119" s="128" t="s">
        <v>126</v>
      </c>
    </row>
    <row r="120" spans="2:65" s="26" customFormat="1" ht="16.5" customHeight="1" x14ac:dyDescent="0.25">
      <c r="B120" s="169"/>
      <c r="C120" s="170">
        <v>19</v>
      </c>
      <c r="D120" s="170" t="s">
        <v>129</v>
      </c>
      <c r="E120" s="171" t="s">
        <v>167</v>
      </c>
      <c r="F120" s="172" t="s">
        <v>168</v>
      </c>
      <c r="G120" s="173" t="s">
        <v>146</v>
      </c>
      <c r="H120" s="174">
        <v>0.8</v>
      </c>
      <c r="I120" s="174"/>
      <c r="J120" s="174">
        <f>ROUND(I120*H120,3)</f>
        <v>0</v>
      </c>
      <c r="K120" s="172" t="s">
        <v>156</v>
      </c>
      <c r="L120" s="132"/>
      <c r="M120" s="175" t="s">
        <v>9</v>
      </c>
      <c r="N120" s="176" t="s">
        <v>27</v>
      </c>
      <c r="O120" s="177">
        <v>0.59799999999999998</v>
      </c>
      <c r="P120" s="177">
        <f>O120*H120</f>
        <v>0.47839999999999999</v>
      </c>
      <c r="Q120" s="177">
        <v>0</v>
      </c>
      <c r="R120" s="177">
        <f>Q120*H120</f>
        <v>0</v>
      </c>
      <c r="S120" s="177">
        <v>0</v>
      </c>
      <c r="T120" s="178">
        <f>S120*H120</f>
        <v>0</v>
      </c>
      <c r="AR120" s="128" t="s">
        <v>132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132</v>
      </c>
      <c r="BM120" s="128" t="s">
        <v>188</v>
      </c>
    </row>
    <row r="121" spans="2:65" s="26" customFormat="1" x14ac:dyDescent="0.25">
      <c r="B121" s="132"/>
      <c r="D121" s="179" t="s">
        <v>161</v>
      </c>
      <c r="E121" s="128" t="s">
        <v>9</v>
      </c>
      <c r="F121" s="143" t="s">
        <v>90</v>
      </c>
      <c r="H121" s="166">
        <v>0.8</v>
      </c>
      <c r="L121" s="132"/>
      <c r="M121" s="180"/>
      <c r="T121" s="181"/>
      <c r="AT121" s="128" t="s">
        <v>161</v>
      </c>
      <c r="AU121" s="128" t="s">
        <v>88</v>
      </c>
      <c r="AV121" s="26" t="s">
        <v>88</v>
      </c>
      <c r="AW121" s="26" t="s">
        <v>163</v>
      </c>
      <c r="AX121" s="26" t="s">
        <v>42</v>
      </c>
      <c r="AY121" s="128" t="s">
        <v>126</v>
      </c>
    </row>
    <row r="122" spans="2:65" s="26" customFormat="1" ht="16.5" customHeight="1" x14ac:dyDescent="0.25">
      <c r="B122" s="169"/>
      <c r="C122" s="170">
        <v>20</v>
      </c>
      <c r="D122" s="170" t="s">
        <v>129</v>
      </c>
      <c r="E122" s="171" t="s">
        <v>170</v>
      </c>
      <c r="F122" s="172" t="s">
        <v>171</v>
      </c>
      <c r="G122" s="173" t="s">
        <v>146</v>
      </c>
      <c r="H122" s="174">
        <v>11.2</v>
      </c>
      <c r="I122" s="174"/>
      <c r="J122" s="174">
        <f>ROUND(I122*H122,3)</f>
        <v>0</v>
      </c>
      <c r="K122" s="172" t="s">
        <v>156</v>
      </c>
      <c r="L122" s="132"/>
      <c r="M122" s="175" t="s">
        <v>9</v>
      </c>
      <c r="N122" s="176" t="s">
        <v>27</v>
      </c>
      <c r="O122" s="177">
        <v>7.0000000000000001E-3</v>
      </c>
      <c r="P122" s="177">
        <f>O122*H122</f>
        <v>7.8399999999999997E-2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28" t="s">
        <v>132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132</v>
      </c>
      <c r="BM122" s="128" t="s">
        <v>189</v>
      </c>
    </row>
    <row r="123" spans="2:65" s="26" customFormat="1" x14ac:dyDescent="0.25">
      <c r="B123" s="132"/>
      <c r="D123" s="179" t="s">
        <v>161</v>
      </c>
      <c r="E123" s="128" t="s">
        <v>9</v>
      </c>
      <c r="F123" s="143" t="s">
        <v>190</v>
      </c>
      <c r="H123" s="166">
        <v>11.2</v>
      </c>
      <c r="L123" s="132"/>
      <c r="M123" s="180"/>
      <c r="T123" s="181"/>
      <c r="AT123" s="128" t="s">
        <v>161</v>
      </c>
      <c r="AU123" s="128" t="s">
        <v>88</v>
      </c>
      <c r="AV123" s="26" t="s">
        <v>88</v>
      </c>
      <c r="AW123" s="26" t="s">
        <v>163</v>
      </c>
      <c r="AX123" s="26" t="s">
        <v>42</v>
      </c>
      <c r="AY123" s="128" t="s">
        <v>126</v>
      </c>
    </row>
    <row r="124" spans="2:65" s="158" customFormat="1" ht="25.9" customHeight="1" x14ac:dyDescent="0.2">
      <c r="B124" s="157"/>
      <c r="D124" s="159" t="s">
        <v>123</v>
      </c>
      <c r="E124" s="160" t="s">
        <v>191</v>
      </c>
      <c r="F124" s="160" t="s">
        <v>192</v>
      </c>
      <c r="J124" s="161">
        <f>BK124</f>
        <v>0</v>
      </c>
      <c r="L124" s="157"/>
      <c r="M124" s="162"/>
      <c r="P124" s="163">
        <f>P125+P137+P142</f>
        <v>1093.5941379999999</v>
      </c>
      <c r="R124" s="163">
        <f>R125+R137+R142</f>
        <v>1.5660800000000001</v>
      </c>
      <c r="T124" s="164">
        <f>T125+T137+T142</f>
        <v>69.552608000000006</v>
      </c>
      <c r="AR124" s="159" t="s">
        <v>88</v>
      </c>
      <c r="AT124" s="165" t="s">
        <v>123</v>
      </c>
      <c r="AU124" s="165" t="s">
        <v>39</v>
      </c>
      <c r="AY124" s="159" t="s">
        <v>126</v>
      </c>
      <c r="BK124" s="166">
        <f>BK125+BK137+BK142</f>
        <v>0</v>
      </c>
    </row>
    <row r="125" spans="2:65" s="158" customFormat="1" ht="22.9" customHeight="1" x14ac:dyDescent="0.2">
      <c r="B125" s="157"/>
      <c r="D125" s="159" t="s">
        <v>123</v>
      </c>
      <c r="E125" s="167" t="s">
        <v>193</v>
      </c>
      <c r="F125" s="167" t="s">
        <v>194</v>
      </c>
      <c r="J125" s="168">
        <f>SUM(J126:J136)</f>
        <v>0</v>
      </c>
      <c r="L125" s="157"/>
      <c r="M125" s="162"/>
      <c r="P125" s="163">
        <f>SUM(P126:P136)</f>
        <v>990.94185799999991</v>
      </c>
      <c r="R125" s="163">
        <f>SUM(R126:R136)</f>
        <v>1.51173</v>
      </c>
      <c r="T125" s="164">
        <f>SUM(T126:T136)</f>
        <v>64.075348000000005</v>
      </c>
      <c r="AR125" s="159" t="s">
        <v>88</v>
      </c>
      <c r="AT125" s="165" t="s">
        <v>123</v>
      </c>
      <c r="AU125" s="165" t="s">
        <v>42</v>
      </c>
      <c r="AY125" s="159" t="s">
        <v>126</v>
      </c>
      <c r="BK125" s="166">
        <f>SUM(BK126:BK136)</f>
        <v>0</v>
      </c>
    </row>
    <row r="126" spans="2:65" s="26" customFormat="1" ht="16.5" customHeight="1" x14ac:dyDescent="0.25">
      <c r="B126" s="169"/>
      <c r="C126" s="170">
        <v>21</v>
      </c>
      <c r="D126" s="170" t="s">
        <v>129</v>
      </c>
      <c r="E126" s="171" t="s">
        <v>465</v>
      </c>
      <c r="F126" s="172" t="s">
        <v>466</v>
      </c>
      <c r="G126" s="173" t="s">
        <v>136</v>
      </c>
      <c r="H126" s="174">
        <v>1527</v>
      </c>
      <c r="I126" s="174"/>
      <c r="J126" s="174">
        <f>ROUND(I126*H126,3)</f>
        <v>0</v>
      </c>
      <c r="K126" s="172" t="s">
        <v>9</v>
      </c>
      <c r="L126" s="132"/>
      <c r="M126" s="175" t="s">
        <v>9</v>
      </c>
      <c r="N126" s="176" t="s">
        <v>27</v>
      </c>
      <c r="O126" s="177">
        <v>0.43458000000000002</v>
      </c>
      <c r="P126" s="177">
        <f>O126*H126</f>
        <v>663.60365999999999</v>
      </c>
      <c r="Q126" s="177">
        <v>9.8999999999999999E-4</v>
      </c>
      <c r="R126" s="177">
        <f>Q126*H126</f>
        <v>1.51173</v>
      </c>
      <c r="S126" s="177">
        <v>0</v>
      </c>
      <c r="T126" s="178">
        <f>S126*H126</f>
        <v>0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467</v>
      </c>
    </row>
    <row r="127" spans="2:65" s="26" customFormat="1" ht="16.5" customHeight="1" x14ac:dyDescent="0.25">
      <c r="B127" s="169"/>
      <c r="C127" s="170">
        <v>22</v>
      </c>
      <c r="D127" s="170" t="s">
        <v>129</v>
      </c>
      <c r="E127" s="171" t="s">
        <v>210</v>
      </c>
      <c r="F127" s="172" t="s">
        <v>211</v>
      </c>
      <c r="G127" s="173" t="s">
        <v>136</v>
      </c>
      <c r="H127" s="174">
        <f>H128</f>
        <v>1875.69</v>
      </c>
      <c r="I127" s="174"/>
      <c r="J127" s="174">
        <f>ROUND(I127*H127,3)</f>
        <v>0</v>
      </c>
      <c r="K127" s="172" t="s">
        <v>9</v>
      </c>
      <c r="L127" s="132"/>
      <c r="M127" s="175" t="s">
        <v>9</v>
      </c>
      <c r="N127" s="176" t="s">
        <v>27</v>
      </c>
      <c r="O127" s="177">
        <v>7.0999999999999994E-2</v>
      </c>
      <c r="P127" s="177">
        <f>O127*H127</f>
        <v>133.17399</v>
      </c>
      <c r="Q127" s="177">
        <v>0</v>
      </c>
      <c r="R127" s="177">
        <f>Q127*H127</f>
        <v>0</v>
      </c>
      <c r="S127" s="177">
        <v>1.6E-2</v>
      </c>
      <c r="T127" s="178">
        <f>S127*H127</f>
        <v>30.011040000000001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212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622</v>
      </c>
      <c r="H128" s="166">
        <f>1557.54+318.15</f>
        <v>1875.69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42</v>
      </c>
      <c r="AY128" s="128" t="s">
        <v>126</v>
      </c>
    </row>
    <row r="129" spans="2:65" s="26" customFormat="1" ht="16.5" customHeight="1" x14ac:dyDescent="0.25">
      <c r="B129" s="169"/>
      <c r="C129" s="170">
        <v>23</v>
      </c>
      <c r="D129" s="170" t="s">
        <v>129</v>
      </c>
      <c r="E129" s="171" t="s">
        <v>214</v>
      </c>
      <c r="F129" s="172" t="s">
        <v>416</v>
      </c>
      <c r="G129" s="173" t="s">
        <v>136</v>
      </c>
      <c r="H129" s="174">
        <f>H131</f>
        <v>4672.3500000000004</v>
      </c>
      <c r="I129" s="174"/>
      <c r="J129" s="174">
        <f>ROUND(I129*H129,3)</f>
        <v>0</v>
      </c>
      <c r="K129" s="172" t="s">
        <v>156</v>
      </c>
      <c r="L129" s="132"/>
      <c r="M129" s="175" t="s">
        <v>9</v>
      </c>
      <c r="N129" s="176" t="s">
        <v>27</v>
      </c>
      <c r="O129" s="177">
        <v>8.0000000000000002E-3</v>
      </c>
      <c r="P129" s="177">
        <f>O129*H129</f>
        <v>37.378800000000005</v>
      </c>
      <c r="Q129" s="177">
        <v>0</v>
      </c>
      <c r="R129" s="177">
        <f>Q129*H129</f>
        <v>0</v>
      </c>
      <c r="S129" s="177">
        <v>6.0000000000000001E-3</v>
      </c>
      <c r="T129" s="178">
        <f>S129*H129</f>
        <v>28.034100000000002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216</v>
      </c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623</v>
      </c>
      <c r="H130" s="166">
        <f>1557.45*3</f>
        <v>4672.3500000000004</v>
      </c>
      <c r="L130" s="132"/>
      <c r="M130" s="180"/>
      <c r="T130" s="181"/>
      <c r="AT130" s="128" t="s">
        <v>161</v>
      </c>
      <c r="AU130" s="128" t="s">
        <v>88</v>
      </c>
      <c r="AV130" s="26" t="s">
        <v>88</v>
      </c>
      <c r="AW130" s="26" t="s">
        <v>163</v>
      </c>
      <c r="AX130" s="26" t="s">
        <v>39</v>
      </c>
      <c r="AY130" s="128" t="s">
        <v>126</v>
      </c>
    </row>
    <row r="131" spans="2:65" s="26" customFormat="1" x14ac:dyDescent="0.25">
      <c r="B131" s="132"/>
      <c r="D131" s="179" t="s">
        <v>161</v>
      </c>
      <c r="E131" s="128" t="s">
        <v>9</v>
      </c>
      <c r="F131" s="143" t="s">
        <v>218</v>
      </c>
      <c r="H131" s="166">
        <f>SUM(H130:H130)</f>
        <v>4672.3500000000004</v>
      </c>
      <c r="L131" s="132"/>
      <c r="M131" s="180"/>
      <c r="T131" s="181"/>
      <c r="AT131" s="128" t="s">
        <v>161</v>
      </c>
      <c r="AU131" s="128" t="s">
        <v>88</v>
      </c>
      <c r="AV131" s="26" t="s">
        <v>132</v>
      </c>
      <c r="AW131" s="26" t="s">
        <v>163</v>
      </c>
      <c r="AX131" s="26" t="s">
        <v>42</v>
      </c>
      <c r="AY131" s="128" t="s">
        <v>126</v>
      </c>
    </row>
    <row r="132" spans="2:65" s="26" customFormat="1" ht="16.5" customHeight="1" x14ac:dyDescent="0.25">
      <c r="B132" s="169"/>
      <c r="C132" s="170">
        <v>24</v>
      </c>
      <c r="D132" s="170" t="s">
        <v>129</v>
      </c>
      <c r="E132" s="171" t="s">
        <v>624</v>
      </c>
      <c r="F132" s="172" t="s">
        <v>625</v>
      </c>
      <c r="G132" s="173" t="s">
        <v>205</v>
      </c>
      <c r="H132" s="174">
        <v>14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5.1999999999999998E-2</v>
      </c>
      <c r="P132" s="177">
        <f>O132*H132</f>
        <v>0.72799999999999998</v>
      </c>
      <c r="Q132" s="177">
        <v>0</v>
      </c>
      <c r="R132" s="177">
        <f>Q132*H132</f>
        <v>0</v>
      </c>
      <c r="S132" s="177">
        <v>2E-3</v>
      </c>
      <c r="T132" s="178">
        <f>S132*H132</f>
        <v>2.8000000000000001E-2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221</v>
      </c>
    </row>
    <row r="133" spans="2:65" s="26" customFormat="1" ht="16.5" customHeight="1" x14ac:dyDescent="0.25">
      <c r="B133" s="169"/>
      <c r="C133" s="170">
        <v>25</v>
      </c>
      <c r="D133" s="170" t="s">
        <v>129</v>
      </c>
      <c r="E133" s="171" t="s">
        <v>219</v>
      </c>
      <c r="F133" s="172" t="s">
        <v>546</v>
      </c>
      <c r="G133" s="173" t="s">
        <v>136</v>
      </c>
      <c r="H133" s="174">
        <f>H128*0.6</f>
        <v>1125.414</v>
      </c>
      <c r="I133" s="174"/>
      <c r="J133" s="174">
        <f>ROUND(I133*H133,3)</f>
        <v>0</v>
      </c>
      <c r="K133" s="172" t="s">
        <v>9</v>
      </c>
      <c r="L133" s="132"/>
      <c r="M133" s="175" t="s">
        <v>9</v>
      </c>
      <c r="N133" s="176" t="s">
        <v>27</v>
      </c>
      <c r="O133" s="177">
        <v>5.1999999999999998E-2</v>
      </c>
      <c r="P133" s="177">
        <f>O133*H133</f>
        <v>58.521527999999996</v>
      </c>
      <c r="Q133" s="177">
        <v>0</v>
      </c>
      <c r="R133" s="177">
        <f>Q133*H133</f>
        <v>0</v>
      </c>
      <c r="S133" s="177">
        <v>2E-3</v>
      </c>
      <c r="T133" s="178">
        <f>S133*H133</f>
        <v>2.2508279999999998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221</v>
      </c>
    </row>
    <row r="134" spans="2:65" s="26" customFormat="1" ht="16.5" customHeight="1" x14ac:dyDescent="0.25">
      <c r="B134" s="169"/>
      <c r="C134" s="170" t="s">
        <v>626</v>
      </c>
      <c r="D134" s="170" t="s">
        <v>129</v>
      </c>
      <c r="E134" s="171" t="s">
        <v>588</v>
      </c>
      <c r="F134" s="172" t="s">
        <v>589</v>
      </c>
      <c r="G134" s="173" t="s">
        <v>136</v>
      </c>
      <c r="H134" s="174">
        <v>963</v>
      </c>
      <c r="I134" s="174"/>
      <c r="J134" s="174">
        <f>ROUND(I134*H134,3)</f>
        <v>0</v>
      </c>
      <c r="K134" s="172"/>
      <c r="L134" s="132"/>
      <c r="M134" s="175"/>
      <c r="N134" s="176"/>
      <c r="O134" s="177"/>
      <c r="P134" s="177"/>
      <c r="Q134" s="177"/>
      <c r="R134" s="177"/>
      <c r="S134" s="177"/>
      <c r="T134" s="178"/>
      <c r="AR134" s="128"/>
      <c r="AT134" s="128"/>
      <c r="AU134" s="128"/>
      <c r="AY134" s="128"/>
      <c r="BE134" s="138"/>
      <c r="BF134" s="138"/>
      <c r="BG134" s="138"/>
      <c r="BH134" s="138"/>
      <c r="BI134" s="138"/>
      <c r="BJ134" s="128"/>
      <c r="BK134" s="166"/>
      <c r="BL134" s="128"/>
      <c r="BM134" s="128"/>
    </row>
    <row r="135" spans="2:65" s="26" customFormat="1" ht="16.5" customHeight="1" x14ac:dyDescent="0.25">
      <c r="B135" s="169"/>
      <c r="C135" s="170"/>
      <c r="D135" s="170"/>
      <c r="E135" s="171"/>
      <c r="F135" s="172" t="s">
        <v>627</v>
      </c>
      <c r="G135" s="173"/>
      <c r="H135" s="174"/>
      <c r="I135" s="174"/>
      <c r="J135" s="174"/>
      <c r="K135" s="172"/>
      <c r="L135" s="132"/>
      <c r="M135" s="175"/>
      <c r="N135" s="176"/>
      <c r="O135" s="177"/>
      <c r="P135" s="177"/>
      <c r="Q135" s="177"/>
      <c r="R135" s="177"/>
      <c r="S135" s="177"/>
      <c r="T135" s="178"/>
      <c r="AR135" s="128"/>
      <c r="AT135" s="128"/>
      <c r="AU135" s="128"/>
      <c r="AY135" s="128"/>
      <c r="BE135" s="138"/>
      <c r="BF135" s="138"/>
      <c r="BG135" s="138"/>
      <c r="BH135" s="138"/>
      <c r="BI135" s="138"/>
      <c r="BJ135" s="128"/>
      <c r="BK135" s="166"/>
      <c r="BL135" s="128"/>
      <c r="BM135" s="128"/>
    </row>
    <row r="136" spans="2:65" s="26" customFormat="1" ht="16.5" customHeight="1" x14ac:dyDescent="0.25">
      <c r="B136" s="169"/>
      <c r="C136" s="170">
        <v>26</v>
      </c>
      <c r="D136" s="170" t="s">
        <v>129</v>
      </c>
      <c r="E136" s="171" t="s">
        <v>219</v>
      </c>
      <c r="F136" s="172" t="s">
        <v>222</v>
      </c>
      <c r="G136" s="173" t="s">
        <v>136</v>
      </c>
      <c r="H136" s="174">
        <f>H127</f>
        <v>1875.69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5.1999999999999998E-2</v>
      </c>
      <c r="P136" s="177">
        <f>O136*H136</f>
        <v>97.535879999999992</v>
      </c>
      <c r="Q136" s="177">
        <v>0</v>
      </c>
      <c r="R136" s="177">
        <f>Q136*H136</f>
        <v>0</v>
      </c>
      <c r="S136" s="177">
        <v>2E-3</v>
      </c>
      <c r="T136" s="178">
        <f>S136*H136</f>
        <v>3.7513800000000002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628</v>
      </c>
    </row>
    <row r="137" spans="2:65" s="158" customFormat="1" ht="22.9" customHeight="1" x14ac:dyDescent="0.2">
      <c r="B137" s="157"/>
      <c r="D137" s="159" t="s">
        <v>123</v>
      </c>
      <c r="E137" s="167" t="s">
        <v>223</v>
      </c>
      <c r="F137" s="167" t="s">
        <v>224</v>
      </c>
      <c r="J137" s="168">
        <f>BK137</f>
        <v>0</v>
      </c>
      <c r="L137" s="157"/>
      <c r="M137" s="162"/>
      <c r="P137" s="163">
        <f>SUM(P138:P141)</f>
        <v>90.126679999999993</v>
      </c>
      <c r="R137" s="163">
        <f>SUM(R138:R141)</f>
        <v>4.1599999999999998E-2</v>
      </c>
      <c r="T137" s="164">
        <f>SUM(T138:T141)</f>
        <v>5.2222600000000003</v>
      </c>
      <c r="AR137" s="159" t="s">
        <v>88</v>
      </c>
      <c r="AT137" s="165" t="s">
        <v>123</v>
      </c>
      <c r="AU137" s="165" t="s">
        <v>42</v>
      </c>
      <c r="AY137" s="159" t="s">
        <v>126</v>
      </c>
      <c r="BK137" s="166">
        <f>SUM(BK138:BK141)</f>
        <v>0</v>
      </c>
    </row>
    <row r="138" spans="2:65" s="26" customFormat="1" ht="16.5" customHeight="1" x14ac:dyDescent="0.25">
      <c r="B138" s="169"/>
      <c r="C138" s="170">
        <v>27</v>
      </c>
      <c r="D138" s="170" t="s">
        <v>129</v>
      </c>
      <c r="E138" s="171" t="s">
        <v>225</v>
      </c>
      <c r="F138" s="172" t="s">
        <v>226</v>
      </c>
      <c r="G138" s="173" t="s">
        <v>205</v>
      </c>
      <c r="H138" s="174">
        <v>16</v>
      </c>
      <c r="I138" s="174"/>
      <c r="J138" s="174">
        <f>ROUND(I138*H138,3)</f>
        <v>0</v>
      </c>
      <c r="K138" s="172" t="s">
        <v>9</v>
      </c>
      <c r="L138" s="132"/>
      <c r="M138" s="175" t="s">
        <v>9</v>
      </c>
      <c r="N138" s="176" t="s">
        <v>27</v>
      </c>
      <c r="O138" s="177">
        <v>0.50117999999999996</v>
      </c>
      <c r="P138" s="177">
        <f>O138*H138</f>
        <v>8.0188799999999993</v>
      </c>
      <c r="Q138" s="177">
        <v>1.6000000000000001E-3</v>
      </c>
      <c r="R138" s="177">
        <f>Q138*H138</f>
        <v>2.5600000000000001E-2</v>
      </c>
      <c r="S138" s="177">
        <v>0</v>
      </c>
      <c r="T138" s="178">
        <f>S138*H138</f>
        <v>0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227</v>
      </c>
    </row>
    <row r="139" spans="2:65" s="26" customFormat="1" ht="16.5" customHeight="1" x14ac:dyDescent="0.25">
      <c r="B139" s="169"/>
      <c r="C139" s="170">
        <v>28</v>
      </c>
      <c r="D139" s="170" t="s">
        <v>129</v>
      </c>
      <c r="E139" s="171" t="s">
        <v>228</v>
      </c>
      <c r="F139" s="172" t="s">
        <v>229</v>
      </c>
      <c r="G139" s="173" t="s">
        <v>230</v>
      </c>
      <c r="H139" s="174">
        <v>63</v>
      </c>
      <c r="I139" s="174"/>
      <c r="J139" s="174">
        <f>ROUND(I139*H139,3)</f>
        <v>0</v>
      </c>
      <c r="K139" s="172" t="s">
        <v>9</v>
      </c>
      <c r="L139" s="132"/>
      <c r="M139" s="175" t="s">
        <v>9</v>
      </c>
      <c r="N139" s="176" t="s">
        <v>27</v>
      </c>
      <c r="O139" s="177">
        <v>7.4999999999999997E-2</v>
      </c>
      <c r="P139" s="177">
        <f>O139*H139</f>
        <v>4.7249999999999996</v>
      </c>
      <c r="Q139" s="177">
        <v>0</v>
      </c>
      <c r="R139" s="177">
        <f>Q139*H139</f>
        <v>0</v>
      </c>
      <c r="S139" s="177">
        <v>2.5200000000000001E-3</v>
      </c>
      <c r="T139" s="178">
        <f>S139*H139</f>
        <v>0.15876000000000001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231</v>
      </c>
    </row>
    <row r="140" spans="2:65" s="26" customFormat="1" ht="16.5" customHeight="1" x14ac:dyDescent="0.25">
      <c r="B140" s="169"/>
      <c r="C140" s="170">
        <v>29</v>
      </c>
      <c r="D140" s="170" t="s">
        <v>129</v>
      </c>
      <c r="E140" s="171" t="s">
        <v>232</v>
      </c>
      <c r="F140" s="172" t="s">
        <v>233</v>
      </c>
      <c r="G140" s="173" t="s">
        <v>234</v>
      </c>
      <c r="H140" s="174">
        <v>247</v>
      </c>
      <c r="I140" s="174"/>
      <c r="J140" s="174">
        <f>ROUND(I140*H140,3)</f>
        <v>0</v>
      </c>
      <c r="K140" s="172" t="s">
        <v>9</v>
      </c>
      <c r="L140" s="132"/>
      <c r="M140" s="175" t="s">
        <v>9</v>
      </c>
      <c r="N140" s="176" t="s">
        <v>27</v>
      </c>
      <c r="O140" s="177">
        <v>0.29299999999999998</v>
      </c>
      <c r="P140" s="177">
        <f>O140*H140</f>
        <v>72.370999999999995</v>
      </c>
      <c r="Q140" s="177">
        <v>0</v>
      </c>
      <c r="R140" s="177">
        <f>Q140*H140</f>
        <v>0</v>
      </c>
      <c r="S140" s="177">
        <v>2.0500000000000001E-2</v>
      </c>
      <c r="T140" s="178">
        <f>S140*H140</f>
        <v>5.0635000000000003</v>
      </c>
      <c r="AR140" s="128" t="s">
        <v>197</v>
      </c>
      <c r="AT140" s="128" t="s">
        <v>129</v>
      </c>
      <c r="AU140" s="128" t="s">
        <v>88</v>
      </c>
      <c r="AY140" s="128" t="s">
        <v>126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28" t="s">
        <v>88</v>
      </c>
      <c r="BK140" s="166">
        <f>ROUND(I140*H140,3)</f>
        <v>0</v>
      </c>
      <c r="BL140" s="128" t="s">
        <v>197</v>
      </c>
      <c r="BM140" s="128" t="s">
        <v>235</v>
      </c>
    </row>
    <row r="141" spans="2:65" s="26" customFormat="1" ht="16.5" customHeight="1" x14ac:dyDescent="0.25">
      <c r="B141" s="169"/>
      <c r="C141" s="170">
        <v>30</v>
      </c>
      <c r="D141" s="170" t="s">
        <v>129</v>
      </c>
      <c r="E141" s="171" t="s">
        <v>239</v>
      </c>
      <c r="F141" s="172" t="s">
        <v>240</v>
      </c>
      <c r="G141" s="173" t="s">
        <v>205</v>
      </c>
      <c r="H141" s="174">
        <v>10</v>
      </c>
      <c r="I141" s="174"/>
      <c r="J141" s="174">
        <f>ROUND(I141*H141,3)</f>
        <v>0</v>
      </c>
      <c r="K141" s="172" t="s">
        <v>9</v>
      </c>
      <c r="L141" s="132"/>
      <c r="M141" s="175" t="s">
        <v>9</v>
      </c>
      <c r="N141" s="176" t="s">
        <v>27</v>
      </c>
      <c r="O141" s="177">
        <v>0.50117999999999996</v>
      </c>
      <c r="P141" s="177">
        <f>O141*H141</f>
        <v>5.0117999999999991</v>
      </c>
      <c r="Q141" s="177">
        <v>1.6000000000000001E-3</v>
      </c>
      <c r="R141" s="177">
        <f>Q141*H141</f>
        <v>1.6E-2</v>
      </c>
      <c r="S141" s="177">
        <v>0</v>
      </c>
      <c r="T141" s="178">
        <f>S141*H141</f>
        <v>0</v>
      </c>
      <c r="AR141" s="128" t="s">
        <v>197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197</v>
      </c>
      <c r="BM141" s="128" t="s">
        <v>241</v>
      </c>
    </row>
    <row r="142" spans="2:65" s="158" customFormat="1" ht="22.9" customHeight="1" x14ac:dyDescent="0.2">
      <c r="B142" s="157"/>
      <c r="D142" s="159" t="s">
        <v>123</v>
      </c>
      <c r="E142" s="167" t="s">
        <v>242</v>
      </c>
      <c r="F142" s="167" t="s">
        <v>243</v>
      </c>
      <c r="J142" s="168">
        <f>BK142</f>
        <v>0</v>
      </c>
      <c r="L142" s="157"/>
      <c r="M142" s="162"/>
      <c r="P142" s="163">
        <f>P143</f>
        <v>12.525599999999999</v>
      </c>
      <c r="R142" s="163">
        <f>R143</f>
        <v>1.2750000000000001E-2</v>
      </c>
      <c r="T142" s="164">
        <f>T143</f>
        <v>0.255</v>
      </c>
      <c r="AR142" s="159" t="s">
        <v>88</v>
      </c>
      <c r="AT142" s="165" t="s">
        <v>123</v>
      </c>
      <c r="AU142" s="165" t="s">
        <v>42</v>
      </c>
      <c r="AY142" s="159" t="s">
        <v>126</v>
      </c>
      <c r="BK142" s="166">
        <f>BK143</f>
        <v>0</v>
      </c>
    </row>
    <row r="143" spans="2:65" s="26" customFormat="1" ht="16.5" customHeight="1" x14ac:dyDescent="0.25">
      <c r="B143" s="169"/>
      <c r="C143" s="170">
        <v>31</v>
      </c>
      <c r="D143" s="170" t="s">
        <v>129</v>
      </c>
      <c r="E143" s="171" t="s">
        <v>244</v>
      </c>
      <c r="F143" s="172" t="s">
        <v>245</v>
      </c>
      <c r="G143" s="173" t="s">
        <v>86</v>
      </c>
      <c r="H143" s="174">
        <v>255</v>
      </c>
      <c r="I143" s="174"/>
      <c r="J143" s="174">
        <f>ROUND(I143*H143,3)</f>
        <v>0</v>
      </c>
      <c r="K143" s="172" t="s">
        <v>156</v>
      </c>
      <c r="L143" s="132"/>
      <c r="M143" s="183" t="s">
        <v>9</v>
      </c>
      <c r="N143" s="184" t="s">
        <v>27</v>
      </c>
      <c r="O143" s="185">
        <v>4.9119999999999997E-2</v>
      </c>
      <c r="P143" s="185">
        <f>O143*H143</f>
        <v>12.525599999999999</v>
      </c>
      <c r="Q143" s="185">
        <v>5.0000000000000002E-5</v>
      </c>
      <c r="R143" s="185">
        <f>Q143*H143</f>
        <v>1.2750000000000001E-2</v>
      </c>
      <c r="S143" s="185">
        <v>1E-3</v>
      </c>
      <c r="T143" s="186">
        <f>S143*H143</f>
        <v>0.255</v>
      </c>
      <c r="AR143" s="128" t="s">
        <v>197</v>
      </c>
      <c r="AT143" s="128" t="s">
        <v>129</v>
      </c>
      <c r="AU143" s="128" t="s">
        <v>88</v>
      </c>
      <c r="AY143" s="128" t="s">
        <v>126</v>
      </c>
      <c r="BE143" s="138">
        <f>IF(N143="základná",J143,0)</f>
        <v>0</v>
      </c>
      <c r="BF143" s="138">
        <f>IF(N143="znížená",J143,0)</f>
        <v>0</v>
      </c>
      <c r="BG143" s="138">
        <f>IF(N143="zákl. prenesená",J143,0)</f>
        <v>0</v>
      </c>
      <c r="BH143" s="138">
        <f>IF(N143="zníž. prenesená",J143,0)</f>
        <v>0</v>
      </c>
      <c r="BI143" s="138">
        <f>IF(N143="nulová",J143,0)</f>
        <v>0</v>
      </c>
      <c r="BJ143" s="128" t="s">
        <v>88</v>
      </c>
      <c r="BK143" s="166">
        <f>ROUND(I143*H143,3)</f>
        <v>0</v>
      </c>
      <c r="BL143" s="128" t="s">
        <v>197</v>
      </c>
      <c r="BM143" s="128" t="s">
        <v>246</v>
      </c>
    </row>
    <row r="144" spans="2:65" s="26" customFormat="1" ht="6.95" customHeight="1" x14ac:dyDescent="0.25">
      <c r="B144" s="141"/>
      <c r="C144" s="36"/>
      <c r="D144" s="36"/>
      <c r="E144" s="36"/>
      <c r="F144" s="36"/>
      <c r="G144" s="36"/>
      <c r="H144" s="36"/>
      <c r="I144" s="36"/>
      <c r="J144" s="36"/>
      <c r="K144" s="36"/>
      <c r="L144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9"/>
  <sheetViews>
    <sheetView topLeftCell="A82" workbookViewId="0">
      <selection activeCell="I92" sqref="I92:I148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75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644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ROUND((SUM(BE89:BE140)),  2)</f>
        <v>0</v>
      </c>
      <c r="I33" s="139">
        <v>0.2</v>
      </c>
      <c r="J33" s="138">
        <f>ROUND(((SUM(BE89:BE140))*I33),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ROUND((SUM(BF89:BF140)),  2)</f>
        <v>0</v>
      </c>
      <c r="I34" s="139">
        <v>0.2</v>
      </c>
      <c r="J34" s="138">
        <f>ROUND(((SUM(BF89:BF140))*I34),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ROUND((SUM(BG89:BG140)),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ROUND((SUM(BH89:BH140)),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ROUND((SUM(BI89:BI140)),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J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J95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J97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J98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J115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J119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J128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J138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J139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629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J90+J97+J138+J142</f>
        <v>0</v>
      </c>
      <c r="L89" s="132"/>
      <c r="M89" s="153"/>
      <c r="N89" s="134"/>
      <c r="O89" s="134"/>
      <c r="P89" s="154">
        <f>P90+P97+P138</f>
        <v>2684.5671029</v>
      </c>
      <c r="Q89" s="134"/>
      <c r="R89" s="154">
        <f>R90+R97+R138</f>
        <v>38.200367315000001</v>
      </c>
      <c r="S89" s="134"/>
      <c r="T89" s="155">
        <f>T90+T97+T138</f>
        <v>0</v>
      </c>
      <c r="AT89" s="128" t="s">
        <v>123</v>
      </c>
      <c r="AU89" s="128" t="s">
        <v>101</v>
      </c>
      <c r="BK89" s="156">
        <f>BK90+BK97+BK138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J91+J95</f>
        <v>0</v>
      </c>
      <c r="L90" s="157"/>
      <c r="M90" s="162"/>
      <c r="P90" s="163">
        <f>P91+P95</f>
        <v>234.60204199999993</v>
      </c>
      <c r="R90" s="163">
        <f>R91+R95</f>
        <v>7.1710493399999988</v>
      </c>
      <c r="T90" s="164">
        <f>T91+T95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BK91+BK95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SUM(J92:J93)</f>
        <v>0</v>
      </c>
      <c r="L91" s="157"/>
      <c r="M91" s="162"/>
      <c r="P91" s="163">
        <f>SUM(P92:P94)</f>
        <v>231.87490199999993</v>
      </c>
      <c r="R91" s="163">
        <f>SUM(R92:R94)</f>
        <v>7.1710493399999988</v>
      </c>
      <c r="T91" s="164">
        <f>SUM(T92:T94)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SUM(BK92:BK94)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12.6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4.0068000000000001</v>
      </c>
      <c r="Q92" s="177">
        <v>4.0899999999999999E-3</v>
      </c>
      <c r="R92" s="177">
        <f>Q92*H92</f>
        <v>5.1533999999999996E-2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16.5" customHeight="1" x14ac:dyDescent="0.25">
      <c r="B93" s="169"/>
      <c r="C93" s="170" t="s">
        <v>88</v>
      </c>
      <c r="D93" s="170" t="s">
        <v>129</v>
      </c>
      <c r="E93" s="171" t="s">
        <v>272</v>
      </c>
      <c r="F93" s="172" t="s">
        <v>423</v>
      </c>
      <c r="G93" s="173" t="s">
        <v>136</v>
      </c>
      <c r="H93" s="174">
        <f>H104*0.7</f>
        <v>1090.2779999999998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0.20899999999999999</v>
      </c>
      <c r="P93" s="177">
        <f>O93*H93</f>
        <v>227.86810199999994</v>
      </c>
      <c r="Q93" s="177">
        <v>6.5300000000000002E-3</v>
      </c>
      <c r="R93" s="177">
        <f>Q93*H93</f>
        <v>7.1195153399999986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274</v>
      </c>
    </row>
    <row r="94" spans="2:65" s="26" customFormat="1" x14ac:dyDescent="0.25">
      <c r="B94" s="132"/>
      <c r="D94" s="179" t="s">
        <v>161</v>
      </c>
      <c r="E94" s="128" t="s">
        <v>9</v>
      </c>
      <c r="F94" s="143" t="s">
        <v>275</v>
      </c>
      <c r="H94" s="166"/>
      <c r="L94" s="132"/>
      <c r="M94" s="180"/>
      <c r="T94" s="181"/>
      <c r="AT94" s="128" t="s">
        <v>161</v>
      </c>
      <c r="AU94" s="128" t="s">
        <v>88</v>
      </c>
      <c r="AV94" s="26" t="s">
        <v>88</v>
      </c>
      <c r="AW94" s="26" t="s">
        <v>163</v>
      </c>
      <c r="AX94" s="26" t="s">
        <v>42</v>
      </c>
      <c r="AY94" s="128" t="s">
        <v>126</v>
      </c>
    </row>
    <row r="95" spans="2:65" s="158" customFormat="1" ht="22.9" customHeight="1" x14ac:dyDescent="0.2">
      <c r="B95" s="157"/>
      <c r="D95" s="159" t="s">
        <v>123</v>
      </c>
      <c r="E95" s="167" t="s">
        <v>276</v>
      </c>
      <c r="F95" s="167" t="s">
        <v>277</v>
      </c>
      <c r="J95" s="168">
        <f>SUM(J96)</f>
        <v>0</v>
      </c>
      <c r="L95" s="157"/>
      <c r="M95" s="162"/>
      <c r="P95" s="163">
        <f>P96</f>
        <v>2.7271400000000003</v>
      </c>
      <c r="R95" s="163">
        <f>R96</f>
        <v>0</v>
      </c>
      <c r="T95" s="164">
        <f>T96</f>
        <v>0</v>
      </c>
      <c r="AR95" s="159" t="s">
        <v>42</v>
      </c>
      <c r="AT95" s="165" t="s">
        <v>123</v>
      </c>
      <c r="AU95" s="165" t="s">
        <v>42</v>
      </c>
      <c r="AY95" s="159" t="s">
        <v>126</v>
      </c>
      <c r="BK95" s="166">
        <f>BK96</f>
        <v>0</v>
      </c>
    </row>
    <row r="96" spans="2:65" s="26" customFormat="1" ht="16.5" customHeight="1" x14ac:dyDescent="0.25">
      <c r="B96" s="169"/>
      <c r="C96" s="170" t="s">
        <v>140</v>
      </c>
      <c r="D96" s="170" t="s">
        <v>129</v>
      </c>
      <c r="E96" s="171" t="s">
        <v>278</v>
      </c>
      <c r="F96" s="172" t="s">
        <v>279</v>
      </c>
      <c r="G96" s="173" t="s">
        <v>146</v>
      </c>
      <c r="H96" s="174">
        <v>8.0210000000000008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0.34</v>
      </c>
      <c r="P96" s="177">
        <f>O96*H96</f>
        <v>2.7271400000000003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280</v>
      </c>
    </row>
    <row r="97" spans="2:65" s="158" customFormat="1" ht="25.9" customHeight="1" x14ac:dyDescent="0.2">
      <c r="B97" s="157"/>
      <c r="D97" s="159" t="s">
        <v>123</v>
      </c>
      <c r="E97" s="160" t="s">
        <v>191</v>
      </c>
      <c r="F97" s="160" t="s">
        <v>192</v>
      </c>
      <c r="J97" s="161">
        <f>J98+J115+J119+J128+J133</f>
        <v>0</v>
      </c>
      <c r="L97" s="157"/>
      <c r="M97" s="162"/>
      <c r="P97" s="163">
        <f>P98+P115+P119+P128</f>
        <v>2449.8150608999999</v>
      </c>
      <c r="R97" s="163">
        <f>R98+R115+R119+R128</f>
        <v>31.029317975000001</v>
      </c>
      <c r="T97" s="164">
        <f>T98+T115+T119+T128</f>
        <v>0</v>
      </c>
      <c r="AR97" s="159" t="s">
        <v>88</v>
      </c>
      <c r="AT97" s="165" t="s">
        <v>123</v>
      </c>
      <c r="AU97" s="165" t="s">
        <v>39</v>
      </c>
      <c r="AY97" s="159" t="s">
        <v>126</v>
      </c>
      <c r="BK97" s="166">
        <f>BK98+BK115+BK119+BK128</f>
        <v>0</v>
      </c>
    </row>
    <row r="98" spans="2:65" s="158" customFormat="1" ht="22.9" customHeight="1" x14ac:dyDescent="0.2">
      <c r="B98" s="157"/>
      <c r="D98" s="159" t="s">
        <v>123</v>
      </c>
      <c r="E98" s="167" t="s">
        <v>193</v>
      </c>
      <c r="F98" s="167" t="s">
        <v>194</v>
      </c>
      <c r="J98" s="168">
        <f>SUM(J99:J114)</f>
        <v>0</v>
      </c>
      <c r="L98" s="157"/>
      <c r="M98" s="162"/>
      <c r="P98" s="163">
        <f>SUM(P99:P114)</f>
        <v>957.79382390000001</v>
      </c>
      <c r="R98" s="163">
        <f>SUM(R99:R114)</f>
        <v>24.870235600000001</v>
      </c>
      <c r="T98" s="164">
        <f>SUM(T99:T114)</f>
        <v>0</v>
      </c>
      <c r="AR98" s="159" t="s">
        <v>88</v>
      </c>
      <c r="AT98" s="165" t="s">
        <v>123</v>
      </c>
      <c r="AU98" s="165" t="s">
        <v>42</v>
      </c>
      <c r="AY98" s="159" t="s">
        <v>126</v>
      </c>
      <c r="BK98" s="166">
        <f>SUM(BK99:BK114)</f>
        <v>0</v>
      </c>
    </row>
    <row r="99" spans="2:65" s="26" customFormat="1" ht="16.5" customHeight="1" x14ac:dyDescent="0.25">
      <c r="B99" s="169"/>
      <c r="C99" s="170" t="s">
        <v>132</v>
      </c>
      <c r="D99" s="170" t="s">
        <v>129</v>
      </c>
      <c r="E99" s="171" t="s">
        <v>281</v>
      </c>
      <c r="F99" s="172" t="s">
        <v>282</v>
      </c>
      <c r="G99" s="173" t="s">
        <v>136</v>
      </c>
      <c r="H99" s="174">
        <f>H104+H105</f>
        <v>1875.69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4.3029999999999999E-2</v>
      </c>
      <c r="P99" s="177">
        <f>O99*H99</f>
        <v>80.710940699999995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197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197</v>
      </c>
      <c r="BM99" s="128" t="s">
        <v>283</v>
      </c>
    </row>
    <row r="100" spans="2:65" s="26" customFormat="1" ht="16.5" customHeight="1" x14ac:dyDescent="0.25">
      <c r="B100" s="169"/>
      <c r="C100" s="187" t="s">
        <v>422</v>
      </c>
      <c r="D100" s="187" t="s">
        <v>261</v>
      </c>
      <c r="E100" s="188" t="s">
        <v>284</v>
      </c>
      <c r="F100" s="189" t="s">
        <v>285</v>
      </c>
      <c r="G100" s="190" t="s">
        <v>146</v>
      </c>
      <c r="H100" s="191">
        <f>H101</f>
        <v>1.4067675000000002</v>
      </c>
      <c r="I100" s="191"/>
      <c r="J100" s="191">
        <f>ROUND(I100*H100,3)</f>
        <v>0</v>
      </c>
      <c r="K100" s="189" t="s">
        <v>156</v>
      </c>
      <c r="L100" s="199"/>
      <c r="M100" s="200" t="s">
        <v>9</v>
      </c>
      <c r="N100" s="201" t="s">
        <v>27</v>
      </c>
      <c r="O100" s="177">
        <v>0</v>
      </c>
      <c r="P100" s="177">
        <f>O100*H100</f>
        <v>0</v>
      </c>
      <c r="Q100" s="177">
        <v>1</v>
      </c>
      <c r="R100" s="177">
        <f>Q100*H100</f>
        <v>1.4067675000000002</v>
      </c>
      <c r="S100" s="177">
        <v>0</v>
      </c>
      <c r="T100" s="178">
        <f>S100*H100</f>
        <v>0</v>
      </c>
      <c r="AR100" s="128" t="s">
        <v>286</v>
      </c>
      <c r="AT100" s="128" t="s">
        <v>261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197</v>
      </c>
      <c r="BM100" s="128" t="s">
        <v>287</v>
      </c>
    </row>
    <row r="101" spans="2:65" s="26" customFormat="1" x14ac:dyDescent="0.25">
      <c r="B101" s="132"/>
      <c r="D101" s="179" t="s">
        <v>161</v>
      </c>
      <c r="F101" s="143" t="s">
        <v>630</v>
      </c>
      <c r="H101" s="166">
        <f>H99*0.00075</f>
        <v>1.4067675000000002</v>
      </c>
      <c r="L101" s="132"/>
      <c r="M101" s="180"/>
      <c r="T101" s="181"/>
      <c r="AT101" s="128" t="s">
        <v>161</v>
      </c>
      <c r="AU101" s="128" t="s">
        <v>88</v>
      </c>
      <c r="AV101" s="26" t="s">
        <v>88</v>
      </c>
      <c r="AW101" s="26" t="s">
        <v>1</v>
      </c>
      <c r="AX101" s="26" t="s">
        <v>42</v>
      </c>
      <c r="AY101" s="128" t="s">
        <v>126</v>
      </c>
    </row>
    <row r="102" spans="2:65" s="26" customFormat="1" ht="22.5" customHeight="1" x14ac:dyDescent="0.25">
      <c r="B102" s="169"/>
      <c r="C102" s="170" t="s">
        <v>127</v>
      </c>
      <c r="D102" s="170" t="s">
        <v>129</v>
      </c>
      <c r="E102" s="171" t="s">
        <v>289</v>
      </c>
      <c r="F102" s="172" t="s">
        <v>290</v>
      </c>
      <c r="G102" s="173" t="s">
        <v>136</v>
      </c>
      <c r="H102" s="174">
        <v>339.34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0.17499999999999999</v>
      </c>
      <c r="P102" s="177">
        <f>O102*H102</f>
        <v>59.384499999999989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291</v>
      </c>
    </row>
    <row r="103" spans="2:65" s="26" customFormat="1" x14ac:dyDescent="0.25">
      <c r="B103" s="132"/>
      <c r="D103" s="179" t="s">
        <v>161</v>
      </c>
      <c r="E103" s="128" t="s">
        <v>9</v>
      </c>
      <c r="F103" s="143" t="s">
        <v>631</v>
      </c>
      <c r="H103" s="166">
        <v>339.34</v>
      </c>
      <c r="L103" s="132"/>
      <c r="M103" s="180"/>
      <c r="T103" s="181"/>
      <c r="AT103" s="128" t="s">
        <v>161</v>
      </c>
      <c r="AU103" s="128" t="s">
        <v>88</v>
      </c>
      <c r="AV103" s="26" t="s">
        <v>88</v>
      </c>
      <c r="AW103" s="26" t="s">
        <v>163</v>
      </c>
      <c r="AX103" s="26" t="s">
        <v>42</v>
      </c>
      <c r="AY103" s="128" t="s">
        <v>126</v>
      </c>
    </row>
    <row r="104" spans="2:65" s="26" customFormat="1" ht="22.5" customHeight="1" x14ac:dyDescent="0.25">
      <c r="B104" s="169"/>
      <c r="C104" s="170" t="s">
        <v>424</v>
      </c>
      <c r="D104" s="170" t="s">
        <v>129</v>
      </c>
      <c r="E104" s="171" t="s">
        <v>293</v>
      </c>
      <c r="F104" s="172" t="s">
        <v>294</v>
      </c>
      <c r="G104" s="173" t="s">
        <v>136</v>
      </c>
      <c r="H104" s="174">
        <f>1527*1.02</f>
        <v>1557.54</v>
      </c>
      <c r="I104" s="174"/>
      <c r="J104" s="174">
        <f>ROUND(I104*H104,3)</f>
        <v>0</v>
      </c>
      <c r="K104" s="172" t="s">
        <v>156</v>
      </c>
      <c r="L104" s="132"/>
      <c r="M104" s="175" t="s">
        <v>9</v>
      </c>
      <c r="N104" s="176" t="s">
        <v>27</v>
      </c>
      <c r="O104" s="177">
        <v>0.43458000000000002</v>
      </c>
      <c r="P104" s="177">
        <f>O104*H104</f>
        <v>676.87573320000001</v>
      </c>
      <c r="Q104" s="177">
        <v>9.8999999999999999E-4</v>
      </c>
      <c r="R104" s="177">
        <f>Q104*H104</f>
        <v>1.5419646</v>
      </c>
      <c r="S104" s="177">
        <v>0</v>
      </c>
      <c r="T104" s="178">
        <f>S104*H104</f>
        <v>0</v>
      </c>
      <c r="AR104" s="128" t="s">
        <v>197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197</v>
      </c>
      <c r="BM104" s="128" t="s">
        <v>295</v>
      </c>
    </row>
    <row r="105" spans="2:65" s="26" customFormat="1" ht="22.5" customHeight="1" x14ac:dyDescent="0.25">
      <c r="B105" s="169"/>
      <c r="C105" s="170" t="s">
        <v>264</v>
      </c>
      <c r="D105" s="170" t="s">
        <v>129</v>
      </c>
      <c r="E105" s="171" t="s">
        <v>296</v>
      </c>
      <c r="F105" s="172" t="s">
        <v>297</v>
      </c>
      <c r="G105" s="173" t="s">
        <v>136</v>
      </c>
      <c r="H105" s="174">
        <f>303*1.05</f>
        <v>318.15000000000003</v>
      </c>
      <c r="I105" s="174"/>
      <c r="J105" s="174">
        <f>ROUND(I105*H105,3)</f>
        <v>0</v>
      </c>
      <c r="K105" s="172" t="s">
        <v>9</v>
      </c>
      <c r="L105" s="132"/>
      <c r="M105" s="175" t="s">
        <v>9</v>
      </c>
      <c r="N105" s="176" t="s">
        <v>27</v>
      </c>
      <c r="O105" s="177">
        <v>0.435</v>
      </c>
      <c r="P105" s="177">
        <f>O105*H105</f>
        <v>138.39525</v>
      </c>
      <c r="Q105" s="177">
        <v>9.8999999999999999E-4</v>
      </c>
      <c r="R105" s="177">
        <f>Q105*H105</f>
        <v>0.31496850000000004</v>
      </c>
      <c r="S105" s="177">
        <v>0</v>
      </c>
      <c r="T105" s="178">
        <f>S105*H105</f>
        <v>0</v>
      </c>
      <c r="AR105" s="128" t="s">
        <v>197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298</v>
      </c>
    </row>
    <row r="106" spans="2:65" s="26" customFormat="1" ht="21.6" customHeight="1" x14ac:dyDescent="0.25">
      <c r="B106" s="169"/>
      <c r="C106" s="187" t="s">
        <v>138</v>
      </c>
      <c r="D106" s="187" t="s">
        <v>261</v>
      </c>
      <c r="E106" s="188" t="s">
        <v>299</v>
      </c>
      <c r="F106" s="189" t="s">
        <v>300</v>
      </c>
      <c r="G106" s="190" t="s">
        <v>136</v>
      </c>
      <c r="H106" s="191">
        <f>H107</f>
        <v>2157.0434999999998</v>
      </c>
      <c r="I106" s="191"/>
      <c r="J106" s="191">
        <f>ROUND(I106*H106,3)</f>
        <v>0</v>
      </c>
      <c r="K106" s="189" t="s">
        <v>156</v>
      </c>
      <c r="L106" s="199"/>
      <c r="M106" s="200" t="s">
        <v>9</v>
      </c>
      <c r="N106" s="201" t="s">
        <v>27</v>
      </c>
      <c r="O106" s="177">
        <v>0</v>
      </c>
      <c r="P106" s="177">
        <f>O106*H106</f>
        <v>0</v>
      </c>
      <c r="Q106" s="177">
        <v>5.0000000000000001E-3</v>
      </c>
      <c r="R106" s="177">
        <f>Q106*H106</f>
        <v>10.7852175</v>
      </c>
      <c r="S106" s="177">
        <v>0</v>
      </c>
      <c r="T106" s="178">
        <f>S106*H106</f>
        <v>0</v>
      </c>
      <c r="AR106" s="128" t="s">
        <v>286</v>
      </c>
      <c r="AT106" s="128" t="s">
        <v>261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197</v>
      </c>
      <c r="BM106" s="128" t="s">
        <v>301</v>
      </c>
    </row>
    <row r="107" spans="2:65" s="26" customFormat="1" x14ac:dyDescent="0.25">
      <c r="B107" s="132"/>
      <c r="D107" s="179" t="s">
        <v>161</v>
      </c>
      <c r="F107" s="143"/>
      <c r="H107" s="166">
        <f>(H104+H105)*1.15</f>
        <v>2157.0434999999998</v>
      </c>
      <c r="L107" s="132"/>
      <c r="M107" s="180"/>
      <c r="T107" s="181"/>
      <c r="AT107" s="128" t="s">
        <v>161</v>
      </c>
      <c r="AU107" s="128" t="s">
        <v>88</v>
      </c>
      <c r="AV107" s="26" t="s">
        <v>88</v>
      </c>
      <c r="AW107" s="26" t="s">
        <v>1</v>
      </c>
      <c r="AX107" s="26" t="s">
        <v>42</v>
      </c>
      <c r="AY107" s="128" t="s">
        <v>126</v>
      </c>
    </row>
    <row r="108" spans="2:65" s="26" customFormat="1" ht="26.45" customHeight="1" x14ac:dyDescent="0.25">
      <c r="B108" s="169"/>
      <c r="C108" s="187" t="s">
        <v>427</v>
      </c>
      <c r="D108" s="187" t="s">
        <v>261</v>
      </c>
      <c r="E108" s="188" t="s">
        <v>303</v>
      </c>
      <c r="F108" s="189" t="s">
        <v>304</v>
      </c>
      <c r="G108" s="190" t="s">
        <v>136</v>
      </c>
      <c r="H108" s="191">
        <f>H106</f>
        <v>2157.0434999999998</v>
      </c>
      <c r="I108" s="191"/>
      <c r="J108" s="191">
        <f>ROUND(I108*H108,3)</f>
        <v>0</v>
      </c>
      <c r="K108" s="189" t="s">
        <v>9</v>
      </c>
      <c r="L108" s="199"/>
      <c r="M108" s="200" t="s">
        <v>9</v>
      </c>
      <c r="N108" s="201" t="s">
        <v>27</v>
      </c>
      <c r="O108" s="177">
        <v>0</v>
      </c>
      <c r="P108" s="177">
        <f>O108*H108</f>
        <v>0</v>
      </c>
      <c r="Q108" s="177">
        <v>5.0000000000000001E-3</v>
      </c>
      <c r="R108" s="177">
        <f>Q108*H108</f>
        <v>10.7852175</v>
      </c>
      <c r="S108" s="177">
        <v>0</v>
      </c>
      <c r="T108" s="178">
        <f>S108*H108</f>
        <v>0</v>
      </c>
      <c r="AR108" s="128" t="s">
        <v>286</v>
      </c>
      <c r="AT108" s="128" t="s">
        <v>261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305</v>
      </c>
    </row>
    <row r="109" spans="2:65" s="26" customFormat="1" ht="16.5" customHeight="1" x14ac:dyDescent="0.25">
      <c r="B109" s="169"/>
      <c r="C109" s="170" t="s">
        <v>428</v>
      </c>
      <c r="D109" s="170" t="s">
        <v>129</v>
      </c>
      <c r="E109" s="171" t="s">
        <v>306</v>
      </c>
      <c r="F109" s="172" t="s">
        <v>307</v>
      </c>
      <c r="G109" s="173" t="s">
        <v>234</v>
      </c>
      <c r="H109" s="174">
        <f>H120+H122</f>
        <v>341.00000000000006</v>
      </c>
      <c r="I109" s="174"/>
      <c r="J109" s="174">
        <f>ROUND(I109*H109,3)</f>
        <v>0</v>
      </c>
      <c r="K109" s="172" t="s">
        <v>9</v>
      </c>
      <c r="L109" s="132"/>
      <c r="M109" s="175" t="s">
        <v>9</v>
      </c>
      <c r="N109" s="176" t="s">
        <v>27</v>
      </c>
      <c r="O109" s="177">
        <v>0</v>
      </c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28" t="s">
        <v>197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308</v>
      </c>
    </row>
    <row r="110" spans="2:65" s="26" customFormat="1" ht="16.5" customHeight="1" x14ac:dyDescent="0.25">
      <c r="B110" s="169"/>
      <c r="C110" s="170" t="s">
        <v>429</v>
      </c>
      <c r="D110" s="170" t="s">
        <v>129</v>
      </c>
      <c r="E110" s="171" t="s">
        <v>316</v>
      </c>
      <c r="F110" s="172" t="s">
        <v>317</v>
      </c>
      <c r="G110" s="173" t="s">
        <v>205</v>
      </c>
      <c r="H110" s="174">
        <v>10</v>
      </c>
      <c r="I110" s="174"/>
      <c r="J110" s="174">
        <f>ROUND(I110*H110,3)</f>
        <v>0</v>
      </c>
      <c r="K110" s="172" t="s">
        <v>9</v>
      </c>
      <c r="L110" s="132"/>
      <c r="M110" s="175" t="s">
        <v>9</v>
      </c>
      <c r="N110" s="176" t="s">
        <v>27</v>
      </c>
      <c r="O110" s="177">
        <v>0.24274000000000001</v>
      </c>
      <c r="P110" s="177">
        <f>O110*H110</f>
        <v>2.4274</v>
      </c>
      <c r="Q110" s="177">
        <v>2.7599999999999999E-3</v>
      </c>
      <c r="R110" s="177">
        <f>Q110*H110</f>
        <v>2.76E-2</v>
      </c>
      <c r="S110" s="177">
        <v>0</v>
      </c>
      <c r="T110" s="178">
        <f>S110*H110</f>
        <v>0</v>
      </c>
      <c r="AR110" s="128" t="s">
        <v>197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197</v>
      </c>
      <c r="BM110" s="128" t="s">
        <v>318</v>
      </c>
    </row>
    <row r="111" spans="2:65" s="26" customFormat="1" ht="16.5" customHeight="1" x14ac:dyDescent="0.25">
      <c r="B111" s="169"/>
      <c r="C111" s="187" t="s">
        <v>431</v>
      </c>
      <c r="D111" s="187" t="s">
        <v>261</v>
      </c>
      <c r="E111" s="188" t="s">
        <v>319</v>
      </c>
      <c r="F111" s="189" t="s">
        <v>320</v>
      </c>
      <c r="G111" s="190" t="s">
        <v>205</v>
      </c>
      <c r="H111" s="191">
        <v>10</v>
      </c>
      <c r="I111" s="191"/>
      <c r="J111" s="191">
        <f>ROUND(I111*H111,3)</f>
        <v>0</v>
      </c>
      <c r="K111" s="189" t="s">
        <v>9</v>
      </c>
      <c r="L111" s="199"/>
      <c r="M111" s="200" t="s">
        <v>9</v>
      </c>
      <c r="N111" s="201" t="s">
        <v>27</v>
      </c>
      <c r="O111" s="177">
        <v>0</v>
      </c>
      <c r="P111" s="177">
        <f>O111*H111</f>
        <v>0</v>
      </c>
      <c r="Q111" s="177">
        <v>8.4999999999999995E-4</v>
      </c>
      <c r="R111" s="177">
        <f>Q111*H111</f>
        <v>8.4999999999999989E-3</v>
      </c>
      <c r="S111" s="177">
        <v>0</v>
      </c>
      <c r="T111" s="178">
        <f>S111*H111</f>
        <v>0</v>
      </c>
      <c r="AR111" s="128" t="s">
        <v>286</v>
      </c>
      <c r="AT111" s="128" t="s">
        <v>261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321</v>
      </c>
    </row>
    <row r="112" spans="2:65" s="26" customFormat="1" ht="16.5" customHeight="1" x14ac:dyDescent="0.25">
      <c r="B112" s="169"/>
      <c r="C112" s="170" t="s">
        <v>632</v>
      </c>
      <c r="D112" s="170" t="s">
        <v>129</v>
      </c>
      <c r="E112" s="171" t="s">
        <v>606</v>
      </c>
      <c r="F112" s="172" t="s">
        <v>607</v>
      </c>
      <c r="G112" s="173" t="s">
        <v>136</v>
      </c>
      <c r="H112" s="174">
        <v>963</v>
      </c>
      <c r="I112" s="174"/>
      <c r="J112" s="174">
        <f>ROUND(I112*H112,3)</f>
        <v>0</v>
      </c>
      <c r="K112" s="172"/>
      <c r="L112" s="132"/>
      <c r="M112" s="175"/>
      <c r="N112" s="176"/>
      <c r="O112" s="177"/>
      <c r="P112" s="177"/>
      <c r="Q112" s="177"/>
      <c r="R112" s="177"/>
      <c r="S112" s="177"/>
      <c r="T112" s="178"/>
      <c r="AR112" s="128"/>
      <c r="AT112" s="128"/>
      <c r="AU112" s="128"/>
      <c r="AY112" s="128"/>
      <c r="BE112" s="138"/>
      <c r="BF112" s="138"/>
      <c r="BG112" s="138"/>
      <c r="BH112" s="138"/>
      <c r="BI112" s="138"/>
      <c r="BJ112" s="128"/>
      <c r="BK112" s="166"/>
      <c r="BL112" s="128"/>
      <c r="BM112" s="128"/>
    </row>
    <row r="113" spans="2:65" s="26" customFormat="1" ht="16.5" customHeight="1" x14ac:dyDescent="0.25">
      <c r="B113" s="169"/>
      <c r="C113" s="170" t="s">
        <v>633</v>
      </c>
      <c r="D113" s="170" t="s">
        <v>261</v>
      </c>
      <c r="E113" s="171" t="s">
        <v>634</v>
      </c>
      <c r="F113" s="172" t="s">
        <v>635</v>
      </c>
      <c r="G113" s="173" t="s">
        <v>136</v>
      </c>
      <c r="H113" s="174">
        <f>H112*1.1</f>
        <v>1059.3000000000002</v>
      </c>
      <c r="I113" s="174"/>
      <c r="J113" s="174">
        <f t="shared" ref="J113" si="0">ROUND(I113*H113,3)</f>
        <v>0</v>
      </c>
      <c r="K113" s="172"/>
      <c r="L113" s="132"/>
      <c r="M113" s="175"/>
      <c r="N113" s="176"/>
      <c r="O113" s="177"/>
      <c r="P113" s="177"/>
      <c r="Q113" s="177"/>
      <c r="R113" s="177"/>
      <c r="S113" s="177"/>
      <c r="T113" s="178"/>
      <c r="AR113" s="128"/>
      <c r="AT113" s="128"/>
      <c r="AU113" s="128"/>
      <c r="AY113" s="128"/>
      <c r="BE113" s="138"/>
      <c r="BF113" s="138"/>
      <c r="BG113" s="138"/>
      <c r="BH113" s="138"/>
      <c r="BI113" s="138"/>
      <c r="BJ113" s="128"/>
      <c r="BK113" s="166">
        <f>ROUND(I113*H113,3)</f>
        <v>0</v>
      </c>
      <c r="BL113" s="128"/>
      <c r="BM113" s="128"/>
    </row>
    <row r="114" spans="2:65" s="26" customFormat="1" ht="16.5" customHeight="1" x14ac:dyDescent="0.25">
      <c r="B114" s="169"/>
      <c r="C114" s="170" t="s">
        <v>432</v>
      </c>
      <c r="D114" s="170" t="s">
        <v>129</v>
      </c>
      <c r="E114" s="171" t="s">
        <v>322</v>
      </c>
      <c r="F114" s="172" t="s">
        <v>323</v>
      </c>
      <c r="G114" s="173" t="s">
        <v>324</v>
      </c>
      <c r="H114" s="174">
        <f>SUM(J99:J111)/100*1.3</f>
        <v>0</v>
      </c>
      <c r="I114" s="174"/>
      <c r="J114" s="174">
        <f>ROUND(I114*H114,3)</f>
        <v>0</v>
      </c>
      <c r="K114" s="172" t="s">
        <v>156</v>
      </c>
      <c r="L114" s="132"/>
      <c r="M114" s="175" t="s">
        <v>9</v>
      </c>
      <c r="N114" s="176" t="s">
        <v>27</v>
      </c>
      <c r="O114" s="177">
        <v>0</v>
      </c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28" t="s">
        <v>197</v>
      </c>
      <c r="AT114" s="128" t="s">
        <v>129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197</v>
      </c>
      <c r="BM114" s="128" t="s">
        <v>325</v>
      </c>
    </row>
    <row r="115" spans="2:65" s="158" customFormat="1" ht="22.9" customHeight="1" x14ac:dyDescent="0.2">
      <c r="B115" s="157"/>
      <c r="D115" s="159" t="s">
        <v>123</v>
      </c>
      <c r="E115" s="167" t="s">
        <v>326</v>
      </c>
      <c r="F115" s="167" t="s">
        <v>327</v>
      </c>
      <c r="J115" s="168">
        <f>SUM(J116:J118)</f>
        <v>0</v>
      </c>
      <c r="L115" s="157"/>
      <c r="M115" s="162"/>
      <c r="P115" s="163">
        <f>SUM(P116:P118)</f>
        <v>247.98480000000004</v>
      </c>
      <c r="R115" s="163">
        <f>SUM(R116:R118)</f>
        <v>3.7665363750000003</v>
      </c>
      <c r="T115" s="164">
        <f>SUM(T116:T118)</f>
        <v>0</v>
      </c>
      <c r="AR115" s="159" t="s">
        <v>88</v>
      </c>
      <c r="AT115" s="165" t="s">
        <v>123</v>
      </c>
      <c r="AU115" s="165" t="s">
        <v>42</v>
      </c>
      <c r="AY115" s="159" t="s">
        <v>126</v>
      </c>
      <c r="BK115" s="166">
        <f>SUM(BK116:BK118)</f>
        <v>0</v>
      </c>
    </row>
    <row r="116" spans="2:65" s="26" customFormat="1" ht="16.5" customHeight="1" x14ac:dyDescent="0.25">
      <c r="B116" s="169"/>
      <c r="C116" s="170" t="s">
        <v>433</v>
      </c>
      <c r="D116" s="170" t="s">
        <v>129</v>
      </c>
      <c r="E116" s="171" t="s">
        <v>328</v>
      </c>
      <c r="F116" s="172" t="s">
        <v>329</v>
      </c>
      <c r="G116" s="173" t="s">
        <v>136</v>
      </c>
      <c r="H116" s="174">
        <f>509*1.05</f>
        <v>534.45000000000005</v>
      </c>
      <c r="I116" s="174"/>
      <c r="J116" s="174">
        <f>ROUND(I116*H116,3)</f>
        <v>0</v>
      </c>
      <c r="K116" s="172" t="s">
        <v>156</v>
      </c>
      <c r="L116" s="132"/>
      <c r="M116" s="175" t="s">
        <v>9</v>
      </c>
      <c r="N116" s="176" t="s">
        <v>27</v>
      </c>
      <c r="O116" s="177">
        <v>0.46400000000000002</v>
      </c>
      <c r="P116" s="177">
        <f>O116*H116</f>
        <v>247.98480000000004</v>
      </c>
      <c r="Q116" s="177">
        <v>4.0000000000000001E-3</v>
      </c>
      <c r="R116" s="177">
        <f>Q116*H116</f>
        <v>2.1378000000000004</v>
      </c>
      <c r="S116" s="177">
        <v>0</v>
      </c>
      <c r="T116" s="178">
        <f>S116*H116</f>
        <v>0</v>
      </c>
      <c r="AR116" s="128" t="s">
        <v>197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197</v>
      </c>
      <c r="BM116" s="128" t="s">
        <v>330</v>
      </c>
    </row>
    <row r="117" spans="2:65" s="26" customFormat="1" ht="16.5" customHeight="1" x14ac:dyDescent="0.25">
      <c r="B117" s="169"/>
      <c r="C117" s="187" t="s">
        <v>197</v>
      </c>
      <c r="D117" s="187" t="s">
        <v>261</v>
      </c>
      <c r="E117" s="188" t="s">
        <v>331</v>
      </c>
      <c r="F117" s="189" t="s">
        <v>332</v>
      </c>
      <c r="G117" s="190" t="s">
        <v>136</v>
      </c>
      <c r="H117" s="191">
        <f>H116*1.15</f>
        <v>614.61749999999995</v>
      </c>
      <c r="I117" s="191"/>
      <c r="J117" s="191">
        <f>ROUND(I117*H117,3)</f>
        <v>0</v>
      </c>
      <c r="K117" s="189" t="s">
        <v>156</v>
      </c>
      <c r="L117" s="199"/>
      <c r="M117" s="200" t="s">
        <v>9</v>
      </c>
      <c r="N117" s="201" t="s">
        <v>27</v>
      </c>
      <c r="O117" s="177">
        <v>0</v>
      </c>
      <c r="P117" s="177">
        <f>O117*H117</f>
        <v>0</v>
      </c>
      <c r="Q117" s="177">
        <v>2.65E-3</v>
      </c>
      <c r="R117" s="177">
        <f>Q117*H117</f>
        <v>1.6287363749999999</v>
      </c>
      <c r="S117" s="177">
        <v>0</v>
      </c>
      <c r="T117" s="178">
        <f>S117*H117</f>
        <v>0</v>
      </c>
      <c r="AR117" s="128" t="s">
        <v>286</v>
      </c>
      <c r="AT117" s="128" t="s">
        <v>261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197</v>
      </c>
      <c r="BM117" s="128" t="s">
        <v>333</v>
      </c>
    </row>
    <row r="118" spans="2:65" s="26" customFormat="1" ht="16.5" customHeight="1" x14ac:dyDescent="0.25">
      <c r="B118" s="169"/>
      <c r="C118" s="170" t="s">
        <v>434</v>
      </c>
      <c r="D118" s="170" t="s">
        <v>129</v>
      </c>
      <c r="E118" s="171" t="s">
        <v>338</v>
      </c>
      <c r="F118" s="172" t="s">
        <v>339</v>
      </c>
      <c r="G118" s="173" t="s">
        <v>324</v>
      </c>
      <c r="H118" s="174">
        <f>SUM(J116:J117)/100*1.3</f>
        <v>0</v>
      </c>
      <c r="I118" s="174"/>
      <c r="J118" s="174">
        <f>ROUND(I118*H118,3)</f>
        <v>0</v>
      </c>
      <c r="K118" s="172" t="s">
        <v>156</v>
      </c>
      <c r="L118" s="132"/>
      <c r="M118" s="175" t="s">
        <v>9</v>
      </c>
      <c r="N118" s="176" t="s">
        <v>27</v>
      </c>
      <c r="O118" s="177">
        <v>0</v>
      </c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28" t="s">
        <v>197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197</v>
      </c>
      <c r="BM118" s="128" t="s">
        <v>340</v>
      </c>
    </row>
    <row r="119" spans="2:65" s="158" customFormat="1" ht="22.9" customHeight="1" x14ac:dyDescent="0.2">
      <c r="B119" s="157"/>
      <c r="D119" s="159" t="s">
        <v>123</v>
      </c>
      <c r="E119" s="167" t="s">
        <v>223</v>
      </c>
      <c r="F119" s="167" t="s">
        <v>224</v>
      </c>
      <c r="J119" s="168">
        <f>SUM(J120:J127)</f>
        <v>0</v>
      </c>
      <c r="L119" s="157"/>
      <c r="M119" s="162"/>
      <c r="P119" s="163">
        <f>SUM(P120:P127)</f>
        <v>1242.9364369999998</v>
      </c>
      <c r="R119" s="163">
        <f>SUM(R120:R127)</f>
        <v>2.392366</v>
      </c>
      <c r="T119" s="164">
        <f>SUM(T120:T127)</f>
        <v>0</v>
      </c>
      <c r="AR119" s="159" t="s">
        <v>88</v>
      </c>
      <c r="AT119" s="165" t="s">
        <v>123</v>
      </c>
      <c r="AU119" s="165" t="s">
        <v>42</v>
      </c>
      <c r="AY119" s="159" t="s">
        <v>126</v>
      </c>
      <c r="BK119" s="166">
        <f>SUM(BK120:BK127)</f>
        <v>0</v>
      </c>
    </row>
    <row r="120" spans="2:65" s="26" customFormat="1" ht="16.5" customHeight="1" x14ac:dyDescent="0.25">
      <c r="B120" s="169"/>
      <c r="C120" s="170" t="s">
        <v>435</v>
      </c>
      <c r="D120" s="170" t="s">
        <v>129</v>
      </c>
      <c r="E120" s="171" t="s">
        <v>341</v>
      </c>
      <c r="F120" s="172" t="s">
        <v>342</v>
      </c>
      <c r="G120" s="173" t="s">
        <v>230</v>
      </c>
      <c r="H120" s="174">
        <f>63*1.1</f>
        <v>69.300000000000011</v>
      </c>
      <c r="I120" s="174"/>
      <c r="J120" s="174">
        <f>ROUND(I120*H120,3)</f>
        <v>0</v>
      </c>
      <c r="K120" s="172" t="s">
        <v>156</v>
      </c>
      <c r="L120" s="132"/>
      <c r="M120" s="175" t="s">
        <v>9</v>
      </c>
      <c r="N120" s="176" t="s">
        <v>27</v>
      </c>
      <c r="O120" s="177">
        <v>0.44508999999999999</v>
      </c>
      <c r="P120" s="177">
        <f>O120*H120</f>
        <v>30.844737000000006</v>
      </c>
      <c r="Q120" s="177">
        <v>2.0899999999999998E-3</v>
      </c>
      <c r="R120" s="177">
        <f>Q120*H120</f>
        <v>0.14483700000000002</v>
      </c>
      <c r="S120" s="177">
        <v>0</v>
      </c>
      <c r="T120" s="178">
        <f>S120*H120</f>
        <v>0</v>
      </c>
      <c r="AR120" s="128" t="s">
        <v>197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343</v>
      </c>
    </row>
    <row r="121" spans="2:65" s="26" customFormat="1" ht="16.5" customHeight="1" x14ac:dyDescent="0.25">
      <c r="B121" s="169"/>
      <c r="C121" s="170" t="s">
        <v>436</v>
      </c>
      <c r="D121" s="170" t="s">
        <v>129</v>
      </c>
      <c r="E121" s="171" t="s">
        <v>344</v>
      </c>
      <c r="F121" s="172" t="s">
        <v>345</v>
      </c>
      <c r="G121" s="173" t="s">
        <v>205</v>
      </c>
      <c r="H121" s="174">
        <v>646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1.3879999999999999</v>
      </c>
      <c r="P121" s="177">
        <f>O121*H121</f>
        <v>896.64799999999991</v>
      </c>
      <c r="Q121" s="177">
        <v>8.0000000000000004E-4</v>
      </c>
      <c r="R121" s="177">
        <f>Q121*H121</f>
        <v>0.51680000000000004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346</v>
      </c>
    </row>
    <row r="122" spans="2:65" s="26" customFormat="1" ht="16.5" customHeight="1" x14ac:dyDescent="0.25">
      <c r="B122" s="169"/>
      <c r="C122" s="170" t="s">
        <v>3</v>
      </c>
      <c r="D122" s="170" t="s">
        <v>129</v>
      </c>
      <c r="E122" s="171" t="s">
        <v>356</v>
      </c>
      <c r="F122" s="172" t="s">
        <v>357</v>
      </c>
      <c r="G122" s="173" t="s">
        <v>230</v>
      </c>
      <c r="H122" s="174">
        <f>H125</f>
        <v>271.70000000000005</v>
      </c>
      <c r="I122" s="174"/>
      <c r="J122" s="174">
        <f>ROUND(I122*H122,3)</f>
        <v>0</v>
      </c>
      <c r="K122" s="172" t="s">
        <v>156</v>
      </c>
      <c r="L122" s="132"/>
      <c r="M122" s="175" t="s">
        <v>9</v>
      </c>
      <c r="N122" s="176" t="s">
        <v>27</v>
      </c>
      <c r="O122" s="177">
        <v>1.161</v>
      </c>
      <c r="P122" s="177">
        <f>O122*H122</f>
        <v>315.44370000000004</v>
      </c>
      <c r="Q122" s="177">
        <v>6.3699999999999998E-3</v>
      </c>
      <c r="R122" s="177">
        <f>Q122*H122</f>
        <v>1.7307290000000002</v>
      </c>
      <c r="S122" s="177">
        <v>0</v>
      </c>
      <c r="T122" s="178">
        <f>S122*H122</f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197</v>
      </c>
      <c r="BM122" s="128" t="s">
        <v>358</v>
      </c>
    </row>
    <row r="123" spans="2:65" s="26" customFormat="1" x14ac:dyDescent="0.25">
      <c r="B123" s="132"/>
      <c r="D123" s="179" t="s">
        <v>161</v>
      </c>
      <c r="E123" s="128" t="s">
        <v>9</v>
      </c>
      <c r="F123" s="143" t="s">
        <v>636</v>
      </c>
      <c r="H123" s="166">
        <f>32*1.1</f>
        <v>35.200000000000003</v>
      </c>
      <c r="L123" s="132"/>
      <c r="M123" s="180"/>
      <c r="T123" s="181"/>
      <c r="AT123" s="128" t="s">
        <v>161</v>
      </c>
      <c r="AU123" s="128" t="s">
        <v>88</v>
      </c>
      <c r="AV123" s="26" t="s">
        <v>88</v>
      </c>
      <c r="AW123" s="26" t="s">
        <v>163</v>
      </c>
      <c r="AX123" s="26" t="s">
        <v>39</v>
      </c>
      <c r="AY123" s="128" t="s">
        <v>126</v>
      </c>
    </row>
    <row r="124" spans="2:65" s="26" customFormat="1" x14ac:dyDescent="0.25">
      <c r="B124" s="132"/>
      <c r="D124" s="179" t="s">
        <v>161</v>
      </c>
      <c r="E124" s="128" t="s">
        <v>9</v>
      </c>
      <c r="F124" s="143" t="s">
        <v>637</v>
      </c>
      <c r="H124" s="166">
        <f>215*1.1</f>
        <v>236.50000000000003</v>
      </c>
      <c r="L124" s="132"/>
      <c r="M124" s="180"/>
      <c r="T124" s="181"/>
      <c r="AT124" s="128" t="s">
        <v>161</v>
      </c>
      <c r="AU124" s="128" t="s">
        <v>88</v>
      </c>
      <c r="AV124" s="26" t="s">
        <v>88</v>
      </c>
      <c r="AW124" s="26" t="s">
        <v>163</v>
      </c>
      <c r="AX124" s="26" t="s">
        <v>39</v>
      </c>
      <c r="AY124" s="128" t="s">
        <v>126</v>
      </c>
    </row>
    <row r="125" spans="2:65" s="26" customFormat="1" x14ac:dyDescent="0.25">
      <c r="B125" s="132"/>
      <c r="D125" s="179" t="s">
        <v>161</v>
      </c>
      <c r="E125" s="128" t="s">
        <v>9</v>
      </c>
      <c r="F125" s="143" t="s">
        <v>218</v>
      </c>
      <c r="H125" s="166">
        <f>SUM(H123:H124)</f>
        <v>271.70000000000005</v>
      </c>
      <c r="L125" s="132"/>
      <c r="M125" s="180"/>
      <c r="T125" s="181"/>
      <c r="AT125" s="128" t="s">
        <v>161</v>
      </c>
      <c r="AU125" s="128" t="s">
        <v>88</v>
      </c>
      <c r="AV125" s="26" t="s">
        <v>132</v>
      </c>
      <c r="AW125" s="26" t="s">
        <v>163</v>
      </c>
      <c r="AX125" s="26" t="s">
        <v>42</v>
      </c>
      <c r="AY125" s="128" t="s">
        <v>126</v>
      </c>
    </row>
    <row r="126" spans="2:65" s="26" customFormat="1" ht="16.5" customHeight="1" x14ac:dyDescent="0.25">
      <c r="B126" s="169"/>
      <c r="C126" s="170" t="s">
        <v>437</v>
      </c>
      <c r="D126" s="170" t="s">
        <v>129</v>
      </c>
      <c r="E126" s="171" t="s">
        <v>365</v>
      </c>
      <c r="F126" s="172" t="s">
        <v>366</v>
      </c>
      <c r="G126" s="173" t="s">
        <v>234</v>
      </c>
      <c r="H126" s="174">
        <f>H120</f>
        <v>69.300000000000011</v>
      </c>
      <c r="I126" s="174"/>
      <c r="J126" s="174">
        <f>ROUND(I126*H126,3)</f>
        <v>0</v>
      </c>
      <c r="K126" s="172" t="s">
        <v>9</v>
      </c>
      <c r="L126" s="132"/>
      <c r="M126" s="175" t="s">
        <v>9</v>
      </c>
      <c r="N126" s="176" t="s">
        <v>27</v>
      </c>
      <c r="O126" s="177">
        <v>0</v>
      </c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367</v>
      </c>
    </row>
    <row r="127" spans="2:65" s="26" customFormat="1" ht="16.5" customHeight="1" x14ac:dyDescent="0.25">
      <c r="B127" s="169"/>
      <c r="C127" s="170" t="s">
        <v>438</v>
      </c>
      <c r="D127" s="170" t="s">
        <v>129</v>
      </c>
      <c r="E127" s="171" t="s">
        <v>368</v>
      </c>
      <c r="F127" s="172" t="s">
        <v>369</v>
      </c>
      <c r="G127" s="173" t="s">
        <v>324</v>
      </c>
      <c r="H127" s="174">
        <f>SUM(J120:J126)/100*1.3</f>
        <v>0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0</v>
      </c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370</v>
      </c>
    </row>
    <row r="128" spans="2:65" s="158" customFormat="1" ht="22.9" customHeight="1" x14ac:dyDescent="0.2">
      <c r="B128" s="157"/>
      <c r="D128" s="159" t="s">
        <v>123</v>
      </c>
      <c r="E128" s="167" t="s">
        <v>242</v>
      </c>
      <c r="F128" s="167" t="s">
        <v>243</v>
      </c>
      <c r="J128" s="168">
        <f>SUM(J129:J132)</f>
        <v>0</v>
      </c>
      <c r="L128" s="157"/>
      <c r="M128" s="162"/>
      <c r="P128" s="163">
        <f>SUM(P129:P132)</f>
        <v>1.1000000000000001</v>
      </c>
      <c r="R128" s="163">
        <f>SUM(R129:R132)</f>
        <v>1.8000000000000001E-4</v>
      </c>
      <c r="T128" s="164">
        <f>SUM(T129:T132)</f>
        <v>0</v>
      </c>
      <c r="AR128" s="159" t="s">
        <v>88</v>
      </c>
      <c r="AT128" s="165" t="s">
        <v>123</v>
      </c>
      <c r="AU128" s="165" t="s">
        <v>42</v>
      </c>
      <c r="AY128" s="159" t="s">
        <v>126</v>
      </c>
      <c r="BK128" s="166">
        <f>SUM(BK129:BK132)</f>
        <v>0</v>
      </c>
    </row>
    <row r="129" spans="2:65" s="26" customFormat="1" ht="16.5" customHeight="1" x14ac:dyDescent="0.25">
      <c r="B129" s="169"/>
      <c r="C129" s="170" t="s">
        <v>439</v>
      </c>
      <c r="D129" s="170" t="s">
        <v>129</v>
      </c>
      <c r="E129" s="171" t="s">
        <v>371</v>
      </c>
      <c r="F129" s="172" t="s">
        <v>372</v>
      </c>
      <c r="G129" s="173" t="s">
        <v>205</v>
      </c>
      <c r="H129" s="174">
        <v>2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0.55000000000000004</v>
      </c>
      <c r="P129" s="177">
        <f>O129*H129</f>
        <v>1.1000000000000001</v>
      </c>
      <c r="Q129" s="177">
        <v>9.0000000000000006E-5</v>
      </c>
      <c r="R129" s="177">
        <f>Q129*H129</f>
        <v>1.8000000000000001E-4</v>
      </c>
      <c r="S129" s="177">
        <v>0</v>
      </c>
      <c r="T129" s="178">
        <f>S129*H129</f>
        <v>0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373</v>
      </c>
    </row>
    <row r="130" spans="2:65" s="26" customFormat="1" ht="16.5" customHeight="1" x14ac:dyDescent="0.25">
      <c r="B130" s="169"/>
      <c r="C130" s="170" t="s">
        <v>440</v>
      </c>
      <c r="D130" s="170" t="s">
        <v>129</v>
      </c>
      <c r="E130" s="171" t="s">
        <v>374</v>
      </c>
      <c r="F130" s="172" t="s">
        <v>375</v>
      </c>
      <c r="G130" s="173" t="s">
        <v>324</v>
      </c>
      <c r="H130" s="174">
        <v>137.816</v>
      </c>
      <c r="I130" s="174"/>
      <c r="J130" s="174">
        <f>ROUND(I130*H130,3)</f>
        <v>0</v>
      </c>
      <c r="K130" s="172" t="s">
        <v>156</v>
      </c>
      <c r="L130" s="132"/>
      <c r="M130" s="175" t="s">
        <v>9</v>
      </c>
      <c r="N130" s="176" t="s">
        <v>27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376</v>
      </c>
    </row>
    <row r="131" spans="2:65" s="26" customFormat="1" ht="16.5" customHeight="1" x14ac:dyDescent="0.25">
      <c r="B131" s="169"/>
      <c r="C131" s="170" t="s">
        <v>441</v>
      </c>
      <c r="D131" s="170" t="s">
        <v>129</v>
      </c>
      <c r="E131" s="171" t="s">
        <v>638</v>
      </c>
      <c r="F131" s="172" t="s">
        <v>639</v>
      </c>
      <c r="G131" s="173" t="s">
        <v>205</v>
      </c>
      <c r="H131" s="174">
        <v>16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 t="s">
        <v>27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640</v>
      </c>
    </row>
    <row r="132" spans="2:65" s="26" customFormat="1" ht="16.5" customHeight="1" x14ac:dyDescent="0.25">
      <c r="B132" s="169"/>
      <c r="C132" s="170" t="s">
        <v>442</v>
      </c>
      <c r="D132" s="170" t="s">
        <v>129</v>
      </c>
      <c r="E132" s="171" t="s">
        <v>641</v>
      </c>
      <c r="F132" s="172" t="s">
        <v>642</v>
      </c>
      <c r="G132" s="173" t="s">
        <v>153</v>
      </c>
      <c r="H132" s="174">
        <v>2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643</v>
      </c>
    </row>
    <row r="133" spans="2:65" s="158" customFormat="1" ht="22.9" customHeight="1" x14ac:dyDescent="0.2">
      <c r="B133" s="157"/>
      <c r="D133" s="159"/>
      <c r="E133" s="167" t="s">
        <v>377</v>
      </c>
      <c r="F133" s="167" t="s">
        <v>378</v>
      </c>
      <c r="J133" s="168">
        <f>SUM(J134:J137)</f>
        <v>0</v>
      </c>
      <c r="L133" s="157"/>
      <c r="M133" s="162"/>
      <c r="P133" s="163"/>
      <c r="R133" s="163"/>
      <c r="T133" s="164"/>
      <c r="AR133" s="159"/>
      <c r="AT133" s="165"/>
      <c r="AU133" s="165"/>
      <c r="AY133" s="159"/>
      <c r="BK133" s="166"/>
    </row>
    <row r="134" spans="2:65" s="26" customFormat="1" ht="16.5" customHeight="1" x14ac:dyDescent="0.25">
      <c r="B134" s="169"/>
      <c r="C134" s="170">
        <v>27</v>
      </c>
      <c r="D134" s="170" t="s">
        <v>129</v>
      </c>
      <c r="E134" s="171" t="s">
        <v>379</v>
      </c>
      <c r="F134" s="172" t="s">
        <v>380</v>
      </c>
      <c r="G134" s="173" t="s">
        <v>136</v>
      </c>
      <c r="H134" s="174">
        <v>385</v>
      </c>
      <c r="I134" s="174"/>
      <c r="J134" s="174">
        <f>ROUND(I134*H134,3)</f>
        <v>0</v>
      </c>
      <c r="K134" s="172" t="s">
        <v>156</v>
      </c>
      <c r="L134" s="132"/>
      <c r="M134" s="175" t="s">
        <v>9</v>
      </c>
      <c r="N134" s="176" t="s">
        <v>27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376</v>
      </c>
    </row>
    <row r="135" spans="2:65" s="26" customFormat="1" ht="16.5" customHeight="1" x14ac:dyDescent="0.25">
      <c r="B135" s="169"/>
      <c r="C135" s="170"/>
      <c r="D135" s="170"/>
      <c r="E135" s="171"/>
      <c r="F135" s="172" t="s">
        <v>453</v>
      </c>
      <c r="G135" s="173"/>
      <c r="H135" s="174"/>
      <c r="I135" s="174"/>
      <c r="J135" s="174"/>
      <c r="K135" s="172"/>
      <c r="L135" s="132"/>
      <c r="M135" s="175"/>
      <c r="N135" s="176"/>
      <c r="O135" s="177"/>
      <c r="P135" s="177"/>
      <c r="Q135" s="177"/>
      <c r="R135" s="177"/>
      <c r="S135" s="177"/>
      <c r="T135" s="178"/>
      <c r="AR135" s="128"/>
      <c r="AT135" s="128"/>
      <c r="AU135" s="128"/>
      <c r="AY135" s="128"/>
      <c r="BE135" s="138"/>
      <c r="BF135" s="138"/>
      <c r="BG135" s="138"/>
      <c r="BH135" s="138"/>
      <c r="BI135" s="138"/>
      <c r="BJ135" s="128"/>
      <c r="BK135" s="166"/>
      <c r="BL135" s="128"/>
      <c r="BM135" s="128"/>
    </row>
    <row r="136" spans="2:65" s="26" customFormat="1" ht="16.5" customHeight="1" x14ac:dyDescent="0.25">
      <c r="B136" s="169"/>
      <c r="C136" s="170"/>
      <c r="D136" s="170"/>
      <c r="E136" s="171"/>
      <c r="F136" s="172" t="s">
        <v>454</v>
      </c>
      <c r="G136" s="173"/>
      <c r="H136" s="174"/>
      <c r="I136" s="174"/>
      <c r="J136" s="174"/>
      <c r="K136" s="172"/>
      <c r="L136" s="132"/>
      <c r="M136" s="175"/>
      <c r="N136" s="176"/>
      <c r="O136" s="177"/>
      <c r="P136" s="177"/>
      <c r="Q136" s="177"/>
      <c r="R136" s="177"/>
      <c r="S136" s="177"/>
      <c r="T136" s="178"/>
      <c r="AR136" s="128"/>
      <c r="AT136" s="128"/>
      <c r="AU136" s="128"/>
      <c r="AY136" s="128"/>
      <c r="BE136" s="138"/>
      <c r="BF136" s="138"/>
      <c r="BG136" s="138"/>
      <c r="BH136" s="138"/>
      <c r="BI136" s="138"/>
      <c r="BJ136" s="128"/>
      <c r="BK136" s="166"/>
      <c r="BL136" s="128"/>
      <c r="BM136" s="128"/>
    </row>
    <row r="137" spans="2:65" s="26" customFormat="1" ht="16.5" customHeight="1" x14ac:dyDescent="0.25">
      <c r="B137" s="169"/>
      <c r="C137" s="170">
        <v>28</v>
      </c>
      <c r="D137" s="170"/>
      <c r="E137" s="171" t="s">
        <v>381</v>
      </c>
      <c r="F137" s="172" t="s">
        <v>382</v>
      </c>
      <c r="G137" s="173" t="s">
        <v>136</v>
      </c>
      <c r="H137" s="174">
        <f>H134</f>
        <v>385</v>
      </c>
      <c r="I137" s="174"/>
      <c r="J137" s="174">
        <f>ROUND(I137*H137,3)</f>
        <v>0</v>
      </c>
      <c r="K137" s="172"/>
      <c r="L137" s="132"/>
      <c r="M137" s="175"/>
      <c r="N137" s="176"/>
      <c r="O137" s="177"/>
      <c r="P137" s="177"/>
      <c r="Q137" s="177"/>
      <c r="R137" s="177"/>
      <c r="S137" s="177"/>
      <c r="T137" s="178"/>
      <c r="AR137" s="128"/>
      <c r="AT137" s="128"/>
      <c r="AU137" s="128"/>
      <c r="AY137" s="128"/>
      <c r="BE137" s="138"/>
      <c r="BF137" s="138"/>
      <c r="BG137" s="138"/>
      <c r="BH137" s="138"/>
      <c r="BI137" s="138"/>
      <c r="BJ137" s="128"/>
      <c r="BK137" s="166"/>
      <c r="BL137" s="128"/>
      <c r="BM137" s="128"/>
    </row>
    <row r="138" spans="2:65" s="158" customFormat="1" ht="25.9" customHeight="1" x14ac:dyDescent="0.2">
      <c r="B138" s="157"/>
      <c r="D138" s="159" t="s">
        <v>123</v>
      </c>
      <c r="E138" s="160" t="s">
        <v>261</v>
      </c>
      <c r="F138" s="160" t="s">
        <v>383</v>
      </c>
      <c r="J138" s="161">
        <f>J139</f>
        <v>0</v>
      </c>
      <c r="L138" s="157"/>
      <c r="M138" s="162"/>
      <c r="P138" s="163">
        <f>P139</f>
        <v>0.15</v>
      </c>
      <c r="R138" s="163">
        <f>R139</f>
        <v>0</v>
      </c>
      <c r="T138" s="164">
        <f>T139</f>
        <v>0</v>
      </c>
      <c r="AR138" s="159" t="s">
        <v>140</v>
      </c>
      <c r="AT138" s="165" t="s">
        <v>123</v>
      </c>
      <c r="AU138" s="165" t="s">
        <v>39</v>
      </c>
      <c r="AY138" s="159" t="s">
        <v>126</v>
      </c>
      <c r="BK138" s="166">
        <f>BK139</f>
        <v>0</v>
      </c>
    </row>
    <row r="139" spans="2:65" s="158" customFormat="1" ht="22.9" customHeight="1" x14ac:dyDescent="0.2">
      <c r="B139" s="157"/>
      <c r="D139" s="159" t="s">
        <v>123</v>
      </c>
      <c r="E139" s="167" t="s">
        <v>384</v>
      </c>
      <c r="F139" s="167" t="s">
        <v>385</v>
      </c>
      <c r="J139" s="168">
        <f>SUM(J140)</f>
        <v>0</v>
      </c>
      <c r="L139" s="157"/>
      <c r="M139" s="162"/>
      <c r="P139" s="163">
        <f>P140</f>
        <v>0.15</v>
      </c>
      <c r="R139" s="163">
        <f>R140</f>
        <v>0</v>
      </c>
      <c r="T139" s="164">
        <f>T140</f>
        <v>0</v>
      </c>
      <c r="AR139" s="159" t="s">
        <v>140</v>
      </c>
      <c r="AT139" s="165" t="s">
        <v>123</v>
      </c>
      <c r="AU139" s="165" t="s">
        <v>42</v>
      </c>
      <c r="AY139" s="159" t="s">
        <v>126</v>
      </c>
      <c r="BK139" s="166">
        <f>BK140</f>
        <v>0</v>
      </c>
    </row>
    <row r="140" spans="2:65" s="26" customFormat="1" ht="16.5" customHeight="1" x14ac:dyDescent="0.25">
      <c r="B140" s="169"/>
      <c r="C140" s="170">
        <v>29</v>
      </c>
      <c r="D140" s="170" t="s">
        <v>129</v>
      </c>
      <c r="E140" s="171" t="s">
        <v>386</v>
      </c>
      <c r="F140" s="172" t="s">
        <v>387</v>
      </c>
      <c r="G140" s="173" t="s">
        <v>153</v>
      </c>
      <c r="H140" s="174">
        <v>1</v>
      </c>
      <c r="I140" s="174"/>
      <c r="J140" s="174">
        <f>ROUND(I140*H140,3)</f>
        <v>0</v>
      </c>
      <c r="K140" s="172" t="s">
        <v>9</v>
      </c>
      <c r="L140" s="132"/>
      <c r="M140" s="183" t="s">
        <v>9</v>
      </c>
      <c r="N140" s="184" t="s">
        <v>27</v>
      </c>
      <c r="O140" s="185">
        <v>0.15</v>
      </c>
      <c r="P140" s="185">
        <f>O140*H140</f>
        <v>0.15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AR140" s="128" t="s">
        <v>388</v>
      </c>
      <c r="AT140" s="128" t="s">
        <v>129</v>
      </c>
      <c r="AU140" s="128" t="s">
        <v>88</v>
      </c>
      <c r="AY140" s="128" t="s">
        <v>126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28" t="s">
        <v>88</v>
      </c>
      <c r="BK140" s="166">
        <f>ROUND(I140*H140,3)</f>
        <v>0</v>
      </c>
      <c r="BL140" s="128" t="s">
        <v>388</v>
      </c>
      <c r="BM140" s="128" t="s">
        <v>389</v>
      </c>
    </row>
    <row r="141" spans="2:65" s="26" customFormat="1" ht="16.5" customHeight="1" x14ac:dyDescent="0.25">
      <c r="B141" s="169"/>
      <c r="C141" s="194"/>
      <c r="D141" s="194"/>
      <c r="E141" s="195"/>
      <c r="F141" s="196"/>
      <c r="G141" s="197"/>
      <c r="H141" s="198"/>
      <c r="I141" s="198"/>
      <c r="J141" s="198"/>
      <c r="K141" s="196"/>
      <c r="L141" s="132"/>
      <c r="M141" s="128"/>
      <c r="N141" s="176"/>
      <c r="O141" s="177"/>
      <c r="P141" s="177"/>
      <c r="Q141" s="177"/>
      <c r="R141" s="177"/>
      <c r="S141" s="177"/>
      <c r="T141" s="177"/>
      <c r="AR141" s="128"/>
      <c r="AT141" s="128"/>
      <c r="AU141" s="128"/>
      <c r="AY141" s="128"/>
      <c r="BE141" s="138"/>
      <c r="BF141" s="138"/>
      <c r="BG141" s="138"/>
      <c r="BH141" s="138"/>
      <c r="BI141" s="138"/>
      <c r="BJ141" s="128"/>
      <c r="BK141" s="166"/>
      <c r="BL141" s="128"/>
      <c r="BM141" s="128"/>
    </row>
    <row r="142" spans="2:65" s="158" customFormat="1" ht="25.9" customHeight="1" x14ac:dyDescent="0.2">
      <c r="B142" s="157"/>
      <c r="D142" s="159"/>
      <c r="E142" s="160"/>
      <c r="F142" s="160" t="s">
        <v>390</v>
      </c>
      <c r="J142" s="161">
        <f>J143</f>
        <v>0</v>
      </c>
      <c r="L142" s="157"/>
      <c r="M142" s="162"/>
      <c r="P142" s="163">
        <f>P143</f>
        <v>0.66</v>
      </c>
      <c r="R142" s="163">
        <f>R143</f>
        <v>0</v>
      </c>
      <c r="T142" s="164">
        <f>T143</f>
        <v>0</v>
      </c>
      <c r="AR142" s="159" t="s">
        <v>140</v>
      </c>
      <c r="AT142" s="165" t="s">
        <v>123</v>
      </c>
      <c r="AU142" s="165" t="s">
        <v>39</v>
      </c>
      <c r="AY142" s="159" t="s">
        <v>126</v>
      </c>
      <c r="BK142" s="166">
        <f>BK143</f>
        <v>0</v>
      </c>
    </row>
    <row r="143" spans="2:65" s="158" customFormat="1" ht="22.9" customHeight="1" x14ac:dyDescent="0.2">
      <c r="B143" s="157"/>
      <c r="D143" s="159" t="s">
        <v>391</v>
      </c>
      <c r="E143" s="167">
        <v>0</v>
      </c>
      <c r="F143" s="167" t="s">
        <v>392</v>
      </c>
      <c r="J143" s="168">
        <f>SUM(J144:J147)</f>
        <v>0</v>
      </c>
      <c r="L143" s="157"/>
      <c r="M143" s="162"/>
      <c r="P143" s="163">
        <f>P144</f>
        <v>0.66</v>
      </c>
      <c r="R143" s="163">
        <f>R144</f>
        <v>0</v>
      </c>
      <c r="T143" s="164">
        <f>T144</f>
        <v>0</v>
      </c>
      <c r="AR143" s="159" t="s">
        <v>140</v>
      </c>
      <c r="AT143" s="165" t="s">
        <v>123</v>
      </c>
      <c r="AU143" s="165" t="s">
        <v>42</v>
      </c>
      <c r="AY143" s="159" t="s">
        <v>126</v>
      </c>
      <c r="BK143" s="166">
        <f>BK144</f>
        <v>0</v>
      </c>
    </row>
    <row r="144" spans="2:65" s="26" customFormat="1" ht="16.5" customHeight="1" x14ac:dyDescent="0.25">
      <c r="B144" s="169"/>
      <c r="C144" s="170">
        <v>30</v>
      </c>
      <c r="D144" s="170" t="s">
        <v>129</v>
      </c>
      <c r="E144" s="171" t="s">
        <v>393</v>
      </c>
      <c r="F144" s="172" t="s">
        <v>394</v>
      </c>
      <c r="G144" s="173" t="s">
        <v>324</v>
      </c>
      <c r="H144" s="174">
        <f>'[1]I montáž - skúška 1.1'!H151</f>
        <v>4.4000000000000004</v>
      </c>
      <c r="I144" s="174"/>
      <c r="J144" s="174">
        <f>ROUND(I144*H144,3)</f>
        <v>0</v>
      </c>
      <c r="K144" s="172" t="s">
        <v>9</v>
      </c>
      <c r="L144" s="132"/>
      <c r="M144" s="183" t="s">
        <v>9</v>
      </c>
      <c r="N144" s="184" t="s">
        <v>27</v>
      </c>
      <c r="O144" s="185">
        <v>0.15</v>
      </c>
      <c r="P144" s="185">
        <f>O144*H144</f>
        <v>0.66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128" t="s">
        <v>388</v>
      </c>
      <c r="AT144" s="128" t="s">
        <v>129</v>
      </c>
      <c r="AU144" s="128" t="s">
        <v>88</v>
      </c>
      <c r="AY144" s="128" t="s">
        <v>126</v>
      </c>
      <c r="BE144" s="138">
        <f>IF(N144="základná",J144,0)</f>
        <v>0</v>
      </c>
      <c r="BF144" s="138">
        <f>IF(N144="znížená",J144,0)</f>
        <v>0</v>
      </c>
      <c r="BG144" s="138">
        <f>IF(N144="zákl. prenesená",J144,0)</f>
        <v>0</v>
      </c>
      <c r="BH144" s="138">
        <f>IF(N144="zníž. prenesená",J144,0)</f>
        <v>0</v>
      </c>
      <c r="BI144" s="138">
        <f>IF(N144="nulová",J144,0)</f>
        <v>0</v>
      </c>
      <c r="BJ144" s="128" t="s">
        <v>88</v>
      </c>
      <c r="BK144" s="166">
        <f>ROUND(I144*H144,3)</f>
        <v>0</v>
      </c>
      <c r="BL144" s="128" t="s">
        <v>388</v>
      </c>
      <c r="BM144" s="128" t="s">
        <v>389</v>
      </c>
    </row>
    <row r="145" spans="2:65" s="26" customFormat="1" ht="16.5" customHeight="1" x14ac:dyDescent="0.25">
      <c r="B145" s="169"/>
      <c r="C145" s="170">
        <v>31</v>
      </c>
      <c r="D145" s="170" t="s">
        <v>129</v>
      </c>
      <c r="E145" s="171" t="s">
        <v>395</v>
      </c>
      <c r="F145" s="172" t="s">
        <v>396</v>
      </c>
      <c r="G145" s="173" t="s">
        <v>324</v>
      </c>
      <c r="H145" s="174">
        <f>'[1]I montáž - skúška 1.1'!H152</f>
        <v>1</v>
      </c>
      <c r="I145" s="174"/>
      <c r="J145" s="174">
        <f>ROUND(I145*H145,3)</f>
        <v>0</v>
      </c>
      <c r="K145" s="172" t="s">
        <v>9</v>
      </c>
      <c r="L145" s="132"/>
      <c r="M145" s="183" t="s">
        <v>9</v>
      </c>
      <c r="N145" s="184" t="s">
        <v>27</v>
      </c>
      <c r="O145" s="185">
        <v>0.15</v>
      </c>
      <c r="P145" s="185">
        <f>O145*H145</f>
        <v>0.15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AR145" s="128" t="s">
        <v>388</v>
      </c>
      <c r="AT145" s="128" t="s">
        <v>129</v>
      </c>
      <c r="AU145" s="128" t="s">
        <v>88</v>
      </c>
      <c r="AY145" s="128" t="s">
        <v>126</v>
      </c>
      <c r="BE145" s="138">
        <f>IF(N145="základná",J145,0)</f>
        <v>0</v>
      </c>
      <c r="BF145" s="138">
        <f>IF(N145="znížená",J145,0)</f>
        <v>0</v>
      </c>
      <c r="BG145" s="138">
        <f>IF(N145="zákl. prenesená",J145,0)</f>
        <v>0</v>
      </c>
      <c r="BH145" s="138">
        <f>IF(N145="zníž. prenesená",J145,0)</f>
        <v>0</v>
      </c>
      <c r="BI145" s="138">
        <f>IF(N145="nulová",J145,0)</f>
        <v>0</v>
      </c>
      <c r="BJ145" s="128" t="s">
        <v>88</v>
      </c>
      <c r="BK145" s="166">
        <f>ROUND(I145*H145,3)</f>
        <v>0</v>
      </c>
      <c r="BL145" s="128" t="s">
        <v>388</v>
      </c>
      <c r="BM145" s="128" t="s">
        <v>389</v>
      </c>
    </row>
    <row r="146" spans="2:65" s="26" customFormat="1" ht="16.5" customHeight="1" x14ac:dyDescent="0.25">
      <c r="B146" s="169"/>
      <c r="C146" s="170">
        <v>32</v>
      </c>
      <c r="D146" s="170" t="s">
        <v>129</v>
      </c>
      <c r="E146" s="171" t="s">
        <v>397</v>
      </c>
      <c r="F146" s="172" t="s">
        <v>398</v>
      </c>
      <c r="G146" s="173" t="s">
        <v>399</v>
      </c>
      <c r="H146" s="174">
        <f>H99*0.15</f>
        <v>281.3535</v>
      </c>
      <c r="I146" s="174"/>
      <c r="J146" s="174">
        <f>ROUND(I146*H146,3)</f>
        <v>0</v>
      </c>
      <c r="K146" s="172"/>
      <c r="L146" s="132"/>
      <c r="M146" s="183"/>
      <c r="N146" s="184"/>
      <c r="O146" s="185"/>
      <c r="P146" s="185"/>
      <c r="Q146" s="185"/>
      <c r="R146" s="185"/>
      <c r="S146" s="185"/>
      <c r="T146" s="186"/>
      <c r="AR146" s="128"/>
      <c r="AT146" s="128"/>
      <c r="AU146" s="128"/>
      <c r="AY146" s="128"/>
      <c r="BE146" s="138"/>
      <c r="BF146" s="138"/>
      <c r="BG146" s="138"/>
      <c r="BH146" s="138"/>
      <c r="BI146" s="138"/>
      <c r="BJ146" s="128"/>
      <c r="BK146" s="166"/>
      <c r="BL146" s="128"/>
      <c r="BM146" s="128"/>
    </row>
    <row r="147" spans="2:65" s="26" customFormat="1" ht="16.5" customHeight="1" x14ac:dyDescent="0.25">
      <c r="B147" s="169"/>
      <c r="C147" s="170">
        <v>33</v>
      </c>
      <c r="D147" s="170" t="s">
        <v>129</v>
      </c>
      <c r="E147" s="171" t="s">
        <v>397</v>
      </c>
      <c r="F147" s="172" t="s">
        <v>401</v>
      </c>
      <c r="G147" s="173" t="s">
        <v>324</v>
      </c>
      <c r="H147" s="174">
        <f>'[1]I montáž - skúška 1.1'!H154</f>
        <v>12.1</v>
      </c>
      <c r="I147" s="174"/>
      <c r="J147" s="174">
        <f>ROUND(I147*H147,3)</f>
        <v>0</v>
      </c>
      <c r="K147" s="172" t="s">
        <v>9</v>
      </c>
      <c r="L147" s="132"/>
      <c r="M147" s="183" t="s">
        <v>9</v>
      </c>
      <c r="N147" s="184" t="s">
        <v>27</v>
      </c>
      <c r="O147" s="185">
        <v>0.15</v>
      </c>
      <c r="P147" s="185">
        <f>O147*H147</f>
        <v>1.8149999999999999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AR147" s="128" t="s">
        <v>388</v>
      </c>
      <c r="AT147" s="128" t="s">
        <v>129</v>
      </c>
      <c r="AU147" s="128" t="s">
        <v>88</v>
      </c>
      <c r="AY147" s="128" t="s">
        <v>126</v>
      </c>
      <c r="BE147" s="138">
        <f>IF(N147="základná",J147,0)</f>
        <v>0</v>
      </c>
      <c r="BF147" s="138">
        <f>IF(N147="znížená",J147,0)</f>
        <v>0</v>
      </c>
      <c r="BG147" s="138">
        <f>IF(N147="zákl. prenesená",J147,0)</f>
        <v>0</v>
      </c>
      <c r="BH147" s="138">
        <f>IF(N147="zníž. prenesená",J147,0)</f>
        <v>0</v>
      </c>
      <c r="BI147" s="138">
        <f>IF(N147="nulová",J147,0)</f>
        <v>0</v>
      </c>
      <c r="BJ147" s="128" t="s">
        <v>88</v>
      </c>
      <c r="BK147" s="166">
        <f>ROUND(I147*H147,3)</f>
        <v>0</v>
      </c>
      <c r="BL147" s="128" t="s">
        <v>388</v>
      </c>
      <c r="BM147" s="128" t="s">
        <v>389</v>
      </c>
    </row>
    <row r="148" spans="2:65" s="26" customFormat="1" ht="16.5" customHeight="1" x14ac:dyDescent="0.25">
      <c r="B148" s="169"/>
      <c r="C148" s="194"/>
      <c r="D148" s="194"/>
      <c r="E148" s="195"/>
      <c r="F148" s="196"/>
      <c r="G148" s="197"/>
      <c r="H148" s="198"/>
      <c r="I148" s="198"/>
      <c r="J148" s="198"/>
      <c r="K148" s="196"/>
      <c r="L148" s="132"/>
      <c r="M148" s="128"/>
      <c r="N148" s="176"/>
      <c r="O148" s="177"/>
      <c r="P148" s="177"/>
      <c r="Q148" s="177"/>
      <c r="R148" s="177"/>
      <c r="S148" s="177"/>
      <c r="T148" s="177"/>
      <c r="AR148" s="128"/>
      <c r="AT148" s="128"/>
      <c r="AU148" s="128"/>
      <c r="AY148" s="128"/>
      <c r="BE148" s="138"/>
      <c r="BF148" s="138"/>
      <c r="BG148" s="138"/>
      <c r="BH148" s="138"/>
      <c r="BI148" s="138"/>
      <c r="BJ148" s="128"/>
      <c r="BK148" s="166"/>
      <c r="BL148" s="128"/>
      <c r="BM148" s="128"/>
    </row>
    <row r="149" spans="2:65" s="26" customFormat="1" ht="6.95" customHeight="1" x14ac:dyDescent="0.25">
      <c r="B149" s="141"/>
      <c r="C149" s="36"/>
      <c r="D149" s="36"/>
      <c r="E149" s="36"/>
      <c r="F149" s="36"/>
      <c r="G149" s="36"/>
      <c r="H149" s="36"/>
      <c r="I149" s="36"/>
      <c r="J149" s="36"/>
      <c r="K149" s="36"/>
      <c r="L149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opLeftCell="A79" workbookViewId="0">
      <selection activeCell="I89" sqref="I89:I142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77</v>
      </c>
      <c r="AZ2" s="128" t="s">
        <v>85</v>
      </c>
      <c r="BA2" s="128" t="s">
        <v>86</v>
      </c>
      <c r="BB2" s="128" t="s">
        <v>9</v>
      </c>
      <c r="BC2" s="128" t="s">
        <v>645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90</v>
      </c>
      <c r="BA3" s="128" t="s">
        <v>94</v>
      </c>
      <c r="BB3" s="128" t="s">
        <v>9</v>
      </c>
      <c r="BC3" s="128" t="s">
        <v>646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615</v>
      </c>
      <c r="BA4" s="128" t="s">
        <v>616</v>
      </c>
      <c r="BB4" s="128" t="s">
        <v>9</v>
      </c>
      <c r="BC4" s="128" t="s">
        <v>647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653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ROUND((SUM(BE86:BE141)),  2)</f>
        <v>0</v>
      </c>
      <c r="I33" s="139">
        <v>0.2</v>
      </c>
      <c r="J33" s="138">
        <f>ROUND(((SUM(BE86:BE141))*I33),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ROUND((SUM(BF86:BF141)),  2)</f>
        <v>0</v>
      </c>
      <c r="I34" s="139">
        <v>0.2</v>
      </c>
      <c r="J34" s="138">
        <f>ROUND(((SUM(BF86:BF141))*I34),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ROUND((SUM(BG86:BG141)),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ROUND((SUM(BH86:BH141)),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ROUND((SUM(BI86:BI141)),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K- demontáž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J125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J126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J137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J141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648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J87+J125</f>
        <v>0</v>
      </c>
      <c r="L86" s="132"/>
      <c r="M86" s="153"/>
      <c r="N86" s="134"/>
      <c r="O86" s="134"/>
      <c r="P86" s="154">
        <f>P87+P125</f>
        <v>891.01432350710002</v>
      </c>
      <c r="Q86" s="134"/>
      <c r="R86" s="154">
        <f>R87+R125</f>
        <v>13.371058568300002</v>
      </c>
      <c r="S86" s="134"/>
      <c r="T86" s="155">
        <f>T87+T125</f>
        <v>29.692986000000001</v>
      </c>
      <c r="AT86" s="128" t="s">
        <v>123</v>
      </c>
      <c r="AU86" s="128" t="s">
        <v>101</v>
      </c>
      <c r="BK86" s="156">
        <f>BK87+BK125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>
        <f>P88+P91</f>
        <v>440.37268350709996</v>
      </c>
      <c r="R87" s="163">
        <f>R88+R91</f>
        <v>12.767988568300002</v>
      </c>
      <c r="T87" s="164">
        <f>T88+T91</f>
        <v>0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BK88</f>
        <v>0</v>
      </c>
      <c r="L88" s="157"/>
      <c r="M88" s="162"/>
      <c r="P88" s="163">
        <f>SUM(P89:P90)</f>
        <v>265.26021555109998</v>
      </c>
      <c r="R88" s="163">
        <f>SUM(R89:R90)</f>
        <v>12.767988568300002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197.67*1.1*0.1*1.15</f>
        <v>25.005255000000002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10.7327555511</v>
      </c>
      <c r="Q89" s="177">
        <v>2.0660000000000001E-2</v>
      </c>
      <c r="R89" s="177">
        <f>Q89*H89</f>
        <v>0.51660856830000002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593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254.52745999999999</v>
      </c>
      <c r="Q90" s="177">
        <v>2.0660000000000001E-2</v>
      </c>
      <c r="R90" s="177">
        <f>Q90*H90</f>
        <v>12.251380000000001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SUM(J92:J123)</f>
        <v>0</v>
      </c>
      <c r="L91" s="157"/>
      <c r="M91" s="162"/>
      <c r="P91" s="163">
        <f>SUM(P96:P124)</f>
        <v>175.11246795600002</v>
      </c>
      <c r="R91" s="163">
        <f>SUM(R96:R124)</f>
        <v>0</v>
      </c>
      <c r="T91" s="164">
        <f>SUM(T96:T124)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SUM(BK96:BK124)</f>
        <v>0</v>
      </c>
    </row>
    <row r="92" spans="2:65" s="26" customFormat="1" ht="16.5" customHeight="1" x14ac:dyDescent="0.25">
      <c r="B92" s="169"/>
      <c r="C92" s="170">
        <v>3</v>
      </c>
      <c r="D92" s="170"/>
      <c r="E92" s="171" t="s">
        <v>144</v>
      </c>
      <c r="F92" s="172" t="s">
        <v>145</v>
      </c>
      <c r="G92" s="173" t="s">
        <v>146</v>
      </c>
      <c r="H92" s="174">
        <f>H96+H105+H115</f>
        <v>79.741561000000004</v>
      </c>
      <c r="I92" s="174"/>
      <c r="J92" s="174">
        <f>ROUND(I92*H92,3)</f>
        <v>0</v>
      </c>
      <c r="K92" s="172"/>
      <c r="L92" s="132"/>
      <c r="M92" s="175"/>
      <c r="N92" s="176"/>
      <c r="O92" s="177"/>
      <c r="P92" s="177"/>
      <c r="Q92" s="177"/>
      <c r="R92" s="177"/>
      <c r="S92" s="177"/>
      <c r="T92" s="178"/>
      <c r="AR92" s="128"/>
      <c r="AT92" s="128"/>
      <c r="AU92" s="128"/>
      <c r="AY92" s="128"/>
      <c r="BE92" s="138"/>
      <c r="BF92" s="138"/>
      <c r="BG92" s="138"/>
      <c r="BH92" s="138"/>
      <c r="BI92" s="138"/>
      <c r="BJ92" s="128"/>
      <c r="BK92" s="166"/>
      <c r="BL92" s="128"/>
      <c r="BM92" s="128"/>
    </row>
    <row r="93" spans="2:65" s="26" customFormat="1" ht="16.5" customHeight="1" x14ac:dyDescent="0.25">
      <c r="B93" s="169"/>
      <c r="C93" s="170">
        <v>4</v>
      </c>
      <c r="D93" s="170"/>
      <c r="E93" s="171" t="s">
        <v>148</v>
      </c>
      <c r="F93" s="172" t="s">
        <v>149</v>
      </c>
      <c r="G93" s="173" t="s">
        <v>146</v>
      </c>
      <c r="H93" s="174">
        <f>H92*10</f>
        <v>797.41561000000002</v>
      </c>
      <c r="I93" s="174"/>
      <c r="J93" s="174">
        <f t="shared" ref="J93:J95" si="0">ROUND(I93*H93,3)</f>
        <v>0</v>
      </c>
      <c r="K93" s="172"/>
      <c r="L93" s="132"/>
      <c r="M93" s="175"/>
      <c r="N93" s="176"/>
      <c r="O93" s="177"/>
      <c r="P93" s="177"/>
      <c r="Q93" s="177"/>
      <c r="R93" s="177"/>
      <c r="S93" s="177"/>
      <c r="T93" s="178"/>
      <c r="AR93" s="128"/>
      <c r="AT93" s="128"/>
      <c r="AU93" s="128"/>
      <c r="AY93" s="128"/>
      <c r="BE93" s="138"/>
      <c r="BF93" s="138"/>
      <c r="BG93" s="138"/>
      <c r="BH93" s="138"/>
      <c r="BI93" s="138"/>
      <c r="BJ93" s="128"/>
      <c r="BK93" s="166"/>
      <c r="BL93" s="128"/>
      <c r="BM93" s="128"/>
    </row>
    <row r="94" spans="2:65" s="26" customFormat="1" ht="16.5" customHeight="1" x14ac:dyDescent="0.25">
      <c r="B94" s="169"/>
      <c r="C94" s="170"/>
      <c r="D94" s="170"/>
      <c r="E94" s="171"/>
      <c r="F94" s="172" t="s">
        <v>150</v>
      </c>
      <c r="G94" s="197"/>
      <c r="H94" s="174"/>
      <c r="I94" s="174"/>
      <c r="J94" s="174">
        <f t="shared" si="0"/>
        <v>0</v>
      </c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/>
      <c r="BL94" s="128"/>
      <c r="BM94" s="128"/>
    </row>
    <row r="95" spans="2:65" s="26" customFormat="1" ht="16.5" customHeight="1" x14ac:dyDescent="0.25">
      <c r="B95" s="169"/>
      <c r="C95" s="170">
        <v>5</v>
      </c>
      <c r="D95" s="170"/>
      <c r="E95" s="171" t="s">
        <v>151</v>
      </c>
      <c r="F95" s="172" t="s">
        <v>152</v>
      </c>
      <c r="G95" s="197" t="s">
        <v>153</v>
      </c>
      <c r="H95" s="174">
        <v>1</v>
      </c>
      <c r="I95" s="174"/>
      <c r="J95" s="174">
        <f t="shared" si="0"/>
        <v>0</v>
      </c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16.5" customHeight="1" x14ac:dyDescent="0.25">
      <c r="B96" s="169"/>
      <c r="C96" s="170">
        <v>6</v>
      </c>
      <c r="D96" s="170" t="s">
        <v>129</v>
      </c>
      <c r="E96" s="171" t="s">
        <v>154</v>
      </c>
      <c r="F96" s="172" t="s">
        <v>155</v>
      </c>
      <c r="G96" s="173" t="s">
        <v>146</v>
      </c>
      <c r="H96" s="174">
        <v>24.48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</v>
      </c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157</v>
      </c>
    </row>
    <row r="97" spans="2:65" s="26" customFormat="1" ht="16.5" customHeight="1" x14ac:dyDescent="0.25">
      <c r="B97" s="169"/>
      <c r="C97" s="170">
        <v>7</v>
      </c>
      <c r="D97" s="170" t="s">
        <v>129</v>
      </c>
      <c r="E97" s="171" t="s">
        <v>158</v>
      </c>
      <c r="F97" s="172" t="s">
        <v>159</v>
      </c>
      <c r="G97" s="173" t="s">
        <v>146</v>
      </c>
      <c r="H97" s="174">
        <v>24.48</v>
      </c>
      <c r="I97" s="174"/>
      <c r="J97" s="174">
        <f>ROUND(I97*H97,3)</f>
        <v>0</v>
      </c>
      <c r="K97" s="172" t="s">
        <v>9</v>
      </c>
      <c r="L97" s="132"/>
      <c r="M97" s="175" t="s">
        <v>9</v>
      </c>
      <c r="N97" s="176" t="s">
        <v>27</v>
      </c>
      <c r="O97" s="177">
        <v>0.88200000000000001</v>
      </c>
      <c r="P97" s="177">
        <f>O97*H97</f>
        <v>21.591360000000002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160</v>
      </c>
    </row>
    <row r="98" spans="2:65" s="26" customFormat="1" x14ac:dyDescent="0.25">
      <c r="B98" s="132"/>
      <c r="D98" s="179" t="s">
        <v>161</v>
      </c>
      <c r="E98" s="128" t="s">
        <v>9</v>
      </c>
      <c r="F98" s="143" t="s">
        <v>162</v>
      </c>
      <c r="H98" s="166">
        <v>24.48</v>
      </c>
      <c r="L98" s="132"/>
      <c r="M98" s="180"/>
      <c r="T98" s="181"/>
      <c r="AT98" s="128" t="s">
        <v>161</v>
      </c>
      <c r="AU98" s="128" t="s">
        <v>88</v>
      </c>
      <c r="AV98" s="26" t="s">
        <v>88</v>
      </c>
      <c r="AW98" s="26" t="s">
        <v>163</v>
      </c>
      <c r="AX98" s="26" t="s">
        <v>42</v>
      </c>
      <c r="AY98" s="128" t="s">
        <v>126</v>
      </c>
    </row>
    <row r="99" spans="2:65" s="26" customFormat="1" ht="16.5" customHeight="1" x14ac:dyDescent="0.25">
      <c r="B99" s="169"/>
      <c r="C99" s="170">
        <v>8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H97</f>
        <v>24.48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0.61799999999999999</v>
      </c>
      <c r="P99" s="177">
        <f>O99*H99</f>
        <v>15.128640000000001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166</v>
      </c>
    </row>
    <row r="100" spans="2:65" s="26" customFormat="1" x14ac:dyDescent="0.25">
      <c r="B100" s="132"/>
      <c r="D100" s="179" t="s">
        <v>161</v>
      </c>
      <c r="E100" s="128" t="s">
        <v>9</v>
      </c>
      <c r="F100" s="143" t="s">
        <v>649</v>
      </c>
      <c r="H100" s="166"/>
      <c r="L100" s="132"/>
      <c r="M100" s="180"/>
      <c r="T100" s="181"/>
      <c r="AT100" s="128" t="s">
        <v>161</v>
      </c>
      <c r="AU100" s="128" t="s">
        <v>88</v>
      </c>
      <c r="AV100" s="26" t="s">
        <v>88</v>
      </c>
      <c r="AW100" s="26" t="s">
        <v>163</v>
      </c>
      <c r="AX100" s="26" t="s">
        <v>42</v>
      </c>
      <c r="AY100" s="128" t="s">
        <v>126</v>
      </c>
    </row>
    <row r="101" spans="2:65" s="26" customFormat="1" ht="16.5" customHeight="1" x14ac:dyDescent="0.25">
      <c r="B101" s="169"/>
      <c r="C101" s="170">
        <v>9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v>24.48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0.59799999999999998</v>
      </c>
      <c r="P101" s="177">
        <f>O101*H101</f>
        <v>14.63904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132</v>
      </c>
      <c r="BM101" s="128" t="s">
        <v>169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162</v>
      </c>
      <c r="H102" s="166">
        <v>24.48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16.5" customHeight="1" x14ac:dyDescent="0.25">
      <c r="B103" s="169"/>
      <c r="C103" s="170">
        <v>10</v>
      </c>
      <c r="D103" s="170" t="s">
        <v>129</v>
      </c>
      <c r="E103" s="171" t="s">
        <v>170</v>
      </c>
      <c r="F103" s="172" t="s">
        <v>171</v>
      </c>
      <c r="G103" s="173" t="s">
        <v>146</v>
      </c>
      <c r="H103" s="174">
        <v>342.72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7.0000000000000001E-3</v>
      </c>
      <c r="P103" s="177">
        <f>O103*H103</f>
        <v>2.3990400000000003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128" t="s">
        <v>132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132</v>
      </c>
      <c r="BM103" s="128" t="s">
        <v>172</v>
      </c>
    </row>
    <row r="104" spans="2:65" s="26" customFormat="1" x14ac:dyDescent="0.25">
      <c r="B104" s="132"/>
      <c r="D104" s="179" t="s">
        <v>161</v>
      </c>
      <c r="E104" s="128" t="s">
        <v>9</v>
      </c>
      <c r="F104" s="143" t="s">
        <v>173</v>
      </c>
      <c r="H104" s="166">
        <v>342.72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163</v>
      </c>
      <c r="AX104" s="26" t="s">
        <v>42</v>
      </c>
      <c r="AY104" s="128" t="s">
        <v>126</v>
      </c>
    </row>
    <row r="105" spans="2:65" s="26" customFormat="1" ht="16.5" customHeight="1" x14ac:dyDescent="0.25">
      <c r="B105" s="169"/>
      <c r="C105" s="170">
        <v>11</v>
      </c>
      <c r="D105" s="170" t="s">
        <v>129</v>
      </c>
      <c r="E105" s="171" t="s">
        <v>174</v>
      </c>
      <c r="F105" s="172" t="s">
        <v>175</v>
      </c>
      <c r="G105" s="173" t="s">
        <v>146</v>
      </c>
      <c r="H105" s="174">
        <f>H89*2.2</f>
        <v>55.011561000000007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</v>
      </c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176</v>
      </c>
    </row>
    <row r="106" spans="2:65" s="26" customFormat="1" x14ac:dyDescent="0.25">
      <c r="B106" s="132"/>
      <c r="D106" s="179" t="s">
        <v>161</v>
      </c>
      <c r="E106" s="128" t="s">
        <v>615</v>
      </c>
      <c r="F106" s="143" t="s">
        <v>647</v>
      </c>
      <c r="H106" s="166"/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163</v>
      </c>
      <c r="AX106" s="26" t="s">
        <v>42</v>
      </c>
      <c r="AY106" s="128" t="s">
        <v>126</v>
      </c>
    </row>
    <row r="107" spans="2:65" s="26" customFormat="1" ht="16.5" customHeight="1" x14ac:dyDescent="0.25">
      <c r="B107" s="169"/>
      <c r="C107" s="170">
        <v>12</v>
      </c>
      <c r="D107" s="170" t="s">
        <v>129</v>
      </c>
      <c r="E107" s="171" t="s">
        <v>158</v>
      </c>
      <c r="F107" s="172" t="s">
        <v>159</v>
      </c>
      <c r="G107" s="173" t="s">
        <v>146</v>
      </c>
      <c r="H107" s="174">
        <f>H105</f>
        <v>55.011561000000007</v>
      </c>
      <c r="I107" s="174"/>
      <c r="J107" s="174">
        <f>ROUND(I107*H107,3)</f>
        <v>0</v>
      </c>
      <c r="K107" s="172" t="s">
        <v>9</v>
      </c>
      <c r="L107" s="132"/>
      <c r="M107" s="175" t="s">
        <v>9</v>
      </c>
      <c r="N107" s="176" t="s">
        <v>27</v>
      </c>
      <c r="O107" s="177">
        <v>0.88200000000000001</v>
      </c>
      <c r="P107" s="177">
        <f>O107*H107</f>
        <v>48.520196802000008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132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132</v>
      </c>
      <c r="BM107" s="128" t="s">
        <v>177</v>
      </c>
    </row>
    <row r="108" spans="2:65" s="26" customFormat="1" x14ac:dyDescent="0.25">
      <c r="B108" s="132"/>
      <c r="D108" s="179" t="s">
        <v>161</v>
      </c>
      <c r="E108" s="128" t="s">
        <v>9</v>
      </c>
      <c r="F108" s="143" t="s">
        <v>615</v>
      </c>
      <c r="H108" s="166"/>
      <c r="L108" s="132"/>
      <c r="M108" s="180"/>
      <c r="T108" s="181"/>
      <c r="AT108" s="128" t="s">
        <v>161</v>
      </c>
      <c r="AU108" s="128" t="s">
        <v>88</v>
      </c>
      <c r="AV108" s="26" t="s">
        <v>88</v>
      </c>
      <c r="AW108" s="26" t="s">
        <v>163</v>
      </c>
      <c r="AX108" s="26" t="s">
        <v>42</v>
      </c>
      <c r="AY108" s="128" t="s">
        <v>126</v>
      </c>
    </row>
    <row r="109" spans="2:65" s="26" customFormat="1" ht="16.5" customHeight="1" x14ac:dyDescent="0.25">
      <c r="B109" s="169"/>
      <c r="C109" s="170">
        <v>13</v>
      </c>
      <c r="D109" s="170" t="s">
        <v>129</v>
      </c>
      <c r="E109" s="171" t="s">
        <v>164</v>
      </c>
      <c r="F109" s="172" t="s">
        <v>165</v>
      </c>
      <c r="G109" s="173" t="s">
        <v>146</v>
      </c>
      <c r="H109" s="174">
        <f>H107</f>
        <v>55.011561000000007</v>
      </c>
      <c r="I109" s="174"/>
      <c r="J109" s="174">
        <f>ROUND(I109*H109,3)</f>
        <v>0</v>
      </c>
      <c r="K109" s="172" t="s">
        <v>156</v>
      </c>
      <c r="L109" s="132"/>
      <c r="M109" s="175" t="s">
        <v>9</v>
      </c>
      <c r="N109" s="176" t="s">
        <v>27</v>
      </c>
      <c r="O109" s="177">
        <v>0.61799999999999999</v>
      </c>
      <c r="P109" s="177">
        <f>O109*H109</f>
        <v>33.997144698000007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28" t="s">
        <v>132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132</v>
      </c>
      <c r="BM109" s="128" t="s">
        <v>178</v>
      </c>
    </row>
    <row r="110" spans="2:65" s="26" customFormat="1" x14ac:dyDescent="0.25">
      <c r="B110" s="132"/>
      <c r="D110" s="179" t="s">
        <v>161</v>
      </c>
      <c r="E110" s="128" t="s">
        <v>9</v>
      </c>
      <c r="F110" s="143" t="s">
        <v>620</v>
      </c>
      <c r="H110" s="166"/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163</v>
      </c>
      <c r="AX110" s="26" t="s">
        <v>42</v>
      </c>
      <c r="AY110" s="128" t="s">
        <v>126</v>
      </c>
    </row>
    <row r="111" spans="2:65" s="26" customFormat="1" ht="16.5" customHeight="1" x14ac:dyDescent="0.25">
      <c r="B111" s="169"/>
      <c r="C111" s="170">
        <v>14</v>
      </c>
      <c r="D111" s="170" t="s">
        <v>129</v>
      </c>
      <c r="E111" s="171" t="s">
        <v>167</v>
      </c>
      <c r="F111" s="172" t="s">
        <v>168</v>
      </c>
      <c r="G111" s="173" t="s">
        <v>146</v>
      </c>
      <c r="H111" s="174">
        <f>H105</f>
        <v>55.011561000000007</v>
      </c>
      <c r="I111" s="174"/>
      <c r="J111" s="174">
        <f>ROUND(I111*H111,3)</f>
        <v>0</v>
      </c>
      <c r="K111" s="172" t="s">
        <v>156</v>
      </c>
      <c r="L111" s="132"/>
      <c r="M111" s="175" t="s">
        <v>9</v>
      </c>
      <c r="N111" s="176" t="s">
        <v>27</v>
      </c>
      <c r="O111" s="177">
        <v>0.59799999999999998</v>
      </c>
      <c r="P111" s="177">
        <f>O111*H111</f>
        <v>32.896913478000002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132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132</v>
      </c>
      <c r="BM111" s="128" t="s">
        <v>179</v>
      </c>
    </row>
    <row r="112" spans="2:65" s="26" customFormat="1" x14ac:dyDescent="0.25">
      <c r="B112" s="132"/>
      <c r="D112" s="179" t="s">
        <v>161</v>
      </c>
      <c r="E112" s="128" t="s">
        <v>9</v>
      </c>
      <c r="F112" s="143" t="s">
        <v>615</v>
      </c>
      <c r="H112" s="166"/>
      <c r="L112" s="132"/>
      <c r="M112" s="180"/>
      <c r="T112" s="181"/>
      <c r="AT112" s="128" t="s">
        <v>161</v>
      </c>
      <c r="AU112" s="128" t="s">
        <v>88</v>
      </c>
      <c r="AV112" s="26" t="s">
        <v>88</v>
      </c>
      <c r="AW112" s="26" t="s">
        <v>163</v>
      </c>
      <c r="AX112" s="26" t="s">
        <v>42</v>
      </c>
      <c r="AY112" s="128" t="s">
        <v>126</v>
      </c>
    </row>
    <row r="113" spans="2:65" s="26" customFormat="1" ht="16.5" customHeight="1" x14ac:dyDescent="0.25">
      <c r="B113" s="169"/>
      <c r="C113" s="170">
        <v>15</v>
      </c>
      <c r="D113" s="170" t="s">
        <v>129</v>
      </c>
      <c r="E113" s="171" t="s">
        <v>170</v>
      </c>
      <c r="F113" s="172" t="s">
        <v>171</v>
      </c>
      <c r="G113" s="173" t="s">
        <v>146</v>
      </c>
      <c r="H113" s="174">
        <f>H111*14</f>
        <v>770.16185400000006</v>
      </c>
      <c r="I113" s="174"/>
      <c r="J113" s="174">
        <f>ROUND(I113*H113,3)</f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7.0000000000000001E-3</v>
      </c>
      <c r="P113" s="177">
        <f>O113*H113</f>
        <v>5.3911329780000008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180</v>
      </c>
    </row>
    <row r="114" spans="2:65" s="26" customFormat="1" x14ac:dyDescent="0.25">
      <c r="B114" s="132"/>
      <c r="D114" s="179" t="s">
        <v>161</v>
      </c>
      <c r="E114" s="128" t="s">
        <v>9</v>
      </c>
      <c r="F114" s="143" t="s">
        <v>620</v>
      </c>
      <c r="H114" s="166"/>
      <c r="L114" s="132"/>
      <c r="M114" s="180"/>
      <c r="T114" s="181"/>
      <c r="AT114" s="128" t="s">
        <v>161</v>
      </c>
      <c r="AU114" s="128" t="s">
        <v>88</v>
      </c>
      <c r="AV114" s="26" t="s">
        <v>88</v>
      </c>
      <c r="AW114" s="26" t="s">
        <v>163</v>
      </c>
      <c r="AX114" s="26" t="s">
        <v>42</v>
      </c>
      <c r="AY114" s="128" t="s">
        <v>126</v>
      </c>
    </row>
    <row r="115" spans="2:65" s="26" customFormat="1" ht="16.5" customHeight="1" x14ac:dyDescent="0.25">
      <c r="B115" s="169"/>
      <c r="C115" s="170">
        <v>16</v>
      </c>
      <c r="D115" s="170" t="s">
        <v>129</v>
      </c>
      <c r="E115" s="171" t="s">
        <v>182</v>
      </c>
      <c r="F115" s="172" t="s">
        <v>183</v>
      </c>
      <c r="G115" s="173" t="s">
        <v>146</v>
      </c>
      <c r="H115" s="174">
        <v>0.25</v>
      </c>
      <c r="I115" s="174"/>
      <c r="J115" s="174">
        <f>ROUND(I115*H115,3)</f>
        <v>0</v>
      </c>
      <c r="K115" s="172" t="s">
        <v>156</v>
      </c>
      <c r="L115" s="132"/>
      <c r="M115" s="175" t="s">
        <v>9</v>
      </c>
      <c r="N115" s="176" t="s">
        <v>27</v>
      </c>
      <c r="O115" s="177">
        <v>0</v>
      </c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28" t="s">
        <v>132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132</v>
      </c>
      <c r="BM115" s="128" t="s">
        <v>184</v>
      </c>
    </row>
    <row r="116" spans="2:65" s="26" customFormat="1" x14ac:dyDescent="0.25">
      <c r="B116" s="132"/>
      <c r="D116" s="179" t="s">
        <v>161</v>
      </c>
      <c r="E116" s="128" t="s">
        <v>90</v>
      </c>
      <c r="F116" s="143" t="s">
        <v>646</v>
      </c>
      <c r="H116" s="166">
        <v>0.25</v>
      </c>
      <c r="L116" s="132"/>
      <c r="M116" s="180"/>
      <c r="T116" s="181"/>
      <c r="AT116" s="128" t="s">
        <v>161</v>
      </c>
      <c r="AU116" s="128" t="s">
        <v>88</v>
      </c>
      <c r="AV116" s="26" t="s">
        <v>88</v>
      </c>
      <c r="AW116" s="26" t="s">
        <v>163</v>
      </c>
      <c r="AX116" s="26" t="s">
        <v>42</v>
      </c>
      <c r="AY116" s="128" t="s">
        <v>126</v>
      </c>
    </row>
    <row r="117" spans="2:65" s="26" customFormat="1" ht="16.5" customHeight="1" x14ac:dyDescent="0.25">
      <c r="B117" s="169"/>
      <c r="C117" s="170">
        <v>17</v>
      </c>
      <c r="D117" s="170" t="s">
        <v>129</v>
      </c>
      <c r="E117" s="171" t="s">
        <v>158</v>
      </c>
      <c r="F117" s="172" t="s">
        <v>159</v>
      </c>
      <c r="G117" s="173" t="s">
        <v>146</v>
      </c>
      <c r="H117" s="174">
        <v>0.25</v>
      </c>
      <c r="I117" s="174"/>
      <c r="J117" s="174">
        <f>ROUND(I117*H117,3)</f>
        <v>0</v>
      </c>
      <c r="K117" s="172" t="s">
        <v>9</v>
      </c>
      <c r="L117" s="132"/>
      <c r="M117" s="175" t="s">
        <v>9</v>
      </c>
      <c r="N117" s="176" t="s">
        <v>27</v>
      </c>
      <c r="O117" s="177">
        <v>0.88200000000000001</v>
      </c>
      <c r="P117" s="177">
        <f>O117*H117</f>
        <v>0.2205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128" t="s">
        <v>132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132</v>
      </c>
      <c r="BM117" s="128" t="s">
        <v>185</v>
      </c>
    </row>
    <row r="118" spans="2:65" s="26" customFormat="1" x14ac:dyDescent="0.25">
      <c r="B118" s="132"/>
      <c r="D118" s="179" t="s">
        <v>161</v>
      </c>
      <c r="E118" s="128" t="s">
        <v>9</v>
      </c>
      <c r="F118" s="143" t="s">
        <v>90</v>
      </c>
      <c r="H118" s="166">
        <v>0.25</v>
      </c>
      <c r="L118" s="132"/>
      <c r="M118" s="180"/>
      <c r="T118" s="181"/>
      <c r="AT118" s="128" t="s">
        <v>161</v>
      </c>
      <c r="AU118" s="128" t="s">
        <v>88</v>
      </c>
      <c r="AV118" s="26" t="s">
        <v>88</v>
      </c>
      <c r="AW118" s="26" t="s">
        <v>163</v>
      </c>
      <c r="AX118" s="26" t="s">
        <v>42</v>
      </c>
      <c r="AY118" s="128" t="s">
        <v>126</v>
      </c>
    </row>
    <row r="119" spans="2:65" s="26" customFormat="1" ht="16.5" customHeight="1" x14ac:dyDescent="0.25">
      <c r="B119" s="169"/>
      <c r="C119" s="170">
        <v>18</v>
      </c>
      <c r="D119" s="170" t="s">
        <v>129</v>
      </c>
      <c r="E119" s="171" t="s">
        <v>164</v>
      </c>
      <c r="F119" s="172" t="s">
        <v>165</v>
      </c>
      <c r="G119" s="173" t="s">
        <v>146</v>
      </c>
      <c r="H119" s="174">
        <f>H115</f>
        <v>0.25</v>
      </c>
      <c r="I119" s="174"/>
      <c r="J119" s="174">
        <f>ROUND(I119*H119,3)</f>
        <v>0</v>
      </c>
      <c r="K119" s="172" t="s">
        <v>9</v>
      </c>
      <c r="L119" s="132"/>
      <c r="M119" s="175" t="s">
        <v>9</v>
      </c>
      <c r="N119" s="176" t="s">
        <v>27</v>
      </c>
      <c r="O119" s="177">
        <v>0.61799999999999999</v>
      </c>
      <c r="P119" s="177">
        <f>O119*H119</f>
        <v>0.1545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128" t="s">
        <v>132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132</v>
      </c>
      <c r="BM119" s="128" t="s">
        <v>186</v>
      </c>
    </row>
    <row r="120" spans="2:65" s="26" customFormat="1" x14ac:dyDescent="0.25">
      <c r="B120" s="132"/>
      <c r="D120" s="179" t="s">
        <v>161</v>
      </c>
      <c r="E120" s="128" t="s">
        <v>9</v>
      </c>
      <c r="F120" s="143" t="s">
        <v>190</v>
      </c>
      <c r="H120" s="166"/>
      <c r="L120" s="132"/>
      <c r="M120" s="180"/>
      <c r="T120" s="181"/>
      <c r="AT120" s="128" t="s">
        <v>161</v>
      </c>
      <c r="AU120" s="128" t="s">
        <v>88</v>
      </c>
      <c r="AV120" s="26" t="s">
        <v>88</v>
      </c>
      <c r="AW120" s="26" t="s">
        <v>163</v>
      </c>
      <c r="AX120" s="26" t="s">
        <v>42</v>
      </c>
      <c r="AY120" s="128" t="s">
        <v>126</v>
      </c>
    </row>
    <row r="121" spans="2:65" s="26" customFormat="1" ht="16.5" customHeight="1" x14ac:dyDescent="0.25">
      <c r="B121" s="169"/>
      <c r="C121" s="170">
        <v>19</v>
      </c>
      <c r="D121" s="170" t="s">
        <v>129</v>
      </c>
      <c r="E121" s="171" t="s">
        <v>167</v>
      </c>
      <c r="F121" s="172" t="s">
        <v>168</v>
      </c>
      <c r="G121" s="173" t="s">
        <v>146</v>
      </c>
      <c r="H121" s="174">
        <v>0.25</v>
      </c>
      <c r="I121" s="174"/>
      <c r="J121" s="174">
        <f>ROUND(I121*H121,3)</f>
        <v>0</v>
      </c>
      <c r="K121" s="172" t="s">
        <v>156</v>
      </c>
      <c r="L121" s="132"/>
      <c r="M121" s="175" t="s">
        <v>9</v>
      </c>
      <c r="N121" s="176" t="s">
        <v>27</v>
      </c>
      <c r="O121" s="177">
        <v>0.59799999999999998</v>
      </c>
      <c r="P121" s="177">
        <f>O121*H121</f>
        <v>0.14949999999999999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28" t="s">
        <v>132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132</v>
      </c>
      <c r="BM121" s="128" t="s">
        <v>188</v>
      </c>
    </row>
    <row r="122" spans="2:65" s="26" customFormat="1" x14ac:dyDescent="0.25">
      <c r="B122" s="132"/>
      <c r="D122" s="179" t="s">
        <v>161</v>
      </c>
      <c r="E122" s="128" t="s">
        <v>9</v>
      </c>
      <c r="F122" s="143" t="s">
        <v>90</v>
      </c>
      <c r="H122" s="166">
        <v>0.25</v>
      </c>
      <c r="L122" s="132"/>
      <c r="M122" s="180"/>
      <c r="T122" s="181"/>
      <c r="AT122" s="128" t="s">
        <v>161</v>
      </c>
      <c r="AU122" s="128" t="s">
        <v>88</v>
      </c>
      <c r="AV122" s="26" t="s">
        <v>88</v>
      </c>
      <c r="AW122" s="26" t="s">
        <v>163</v>
      </c>
      <c r="AX122" s="26" t="s">
        <v>42</v>
      </c>
      <c r="AY122" s="128" t="s">
        <v>126</v>
      </c>
    </row>
    <row r="123" spans="2:65" s="26" customFormat="1" ht="16.5" customHeight="1" x14ac:dyDescent="0.25">
      <c r="B123" s="169"/>
      <c r="C123" s="170">
        <v>20</v>
      </c>
      <c r="D123" s="170" t="s">
        <v>129</v>
      </c>
      <c r="E123" s="171" t="s">
        <v>170</v>
      </c>
      <c r="F123" s="172" t="s">
        <v>171</v>
      </c>
      <c r="G123" s="173" t="s">
        <v>146</v>
      </c>
      <c r="H123" s="174">
        <v>3.5</v>
      </c>
      <c r="I123" s="174"/>
      <c r="J123" s="174">
        <f>ROUND(I123*H123,3)</f>
        <v>0</v>
      </c>
      <c r="K123" s="172" t="s">
        <v>156</v>
      </c>
      <c r="L123" s="132"/>
      <c r="M123" s="175" t="s">
        <v>9</v>
      </c>
      <c r="N123" s="176" t="s">
        <v>27</v>
      </c>
      <c r="O123" s="177">
        <v>7.0000000000000001E-3</v>
      </c>
      <c r="P123" s="177">
        <f>O123*H123</f>
        <v>2.4500000000000001E-2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128" t="s">
        <v>132</v>
      </c>
      <c r="AT123" s="128" t="s">
        <v>129</v>
      </c>
      <c r="AU123" s="128" t="s">
        <v>88</v>
      </c>
      <c r="AY123" s="128" t="s">
        <v>126</v>
      </c>
      <c r="BE123" s="138">
        <f>IF(N123="základná",J123,0)</f>
        <v>0</v>
      </c>
      <c r="BF123" s="138">
        <f>IF(N123="znížená",J123,0)</f>
        <v>0</v>
      </c>
      <c r="BG123" s="138">
        <f>IF(N123="zákl. prenesená",J123,0)</f>
        <v>0</v>
      </c>
      <c r="BH123" s="138">
        <f>IF(N123="zníž. prenesená",J123,0)</f>
        <v>0</v>
      </c>
      <c r="BI123" s="138">
        <f>IF(N123="nulová",J123,0)</f>
        <v>0</v>
      </c>
      <c r="BJ123" s="128" t="s">
        <v>88</v>
      </c>
      <c r="BK123" s="166">
        <f>ROUND(I123*H123,3)</f>
        <v>0</v>
      </c>
      <c r="BL123" s="128" t="s">
        <v>132</v>
      </c>
      <c r="BM123" s="128" t="s">
        <v>189</v>
      </c>
    </row>
    <row r="124" spans="2:65" s="26" customFormat="1" x14ac:dyDescent="0.25">
      <c r="B124" s="132"/>
      <c r="D124" s="179" t="s">
        <v>161</v>
      </c>
      <c r="E124" s="128" t="s">
        <v>9</v>
      </c>
      <c r="F124" s="143" t="s">
        <v>190</v>
      </c>
      <c r="H124" s="166">
        <v>3.5</v>
      </c>
      <c r="L124" s="132"/>
      <c r="M124" s="180"/>
      <c r="T124" s="181"/>
      <c r="AT124" s="128" t="s">
        <v>161</v>
      </c>
      <c r="AU124" s="128" t="s">
        <v>88</v>
      </c>
      <c r="AV124" s="26" t="s">
        <v>88</v>
      </c>
      <c r="AW124" s="26" t="s">
        <v>163</v>
      </c>
      <c r="AX124" s="26" t="s">
        <v>42</v>
      </c>
      <c r="AY124" s="128" t="s">
        <v>126</v>
      </c>
    </row>
    <row r="125" spans="2:65" s="158" customFormat="1" ht="25.9" customHeight="1" x14ac:dyDescent="0.2">
      <c r="B125" s="157"/>
      <c r="D125" s="159" t="s">
        <v>123</v>
      </c>
      <c r="E125" s="160" t="s">
        <v>191</v>
      </c>
      <c r="F125" s="160" t="s">
        <v>192</v>
      </c>
      <c r="J125" s="161">
        <f>BK125</f>
        <v>0</v>
      </c>
      <c r="L125" s="157"/>
      <c r="M125" s="162"/>
      <c r="P125" s="163">
        <f>P126+P137+P141</f>
        <v>450.64164</v>
      </c>
      <c r="R125" s="163">
        <f>R126+R137+R141</f>
        <v>0.60306999999999999</v>
      </c>
      <c r="T125" s="164">
        <f>T126+T137+T141</f>
        <v>29.692986000000001</v>
      </c>
      <c r="AR125" s="159" t="s">
        <v>88</v>
      </c>
      <c r="AT125" s="165" t="s">
        <v>123</v>
      </c>
      <c r="AU125" s="165" t="s">
        <v>39</v>
      </c>
      <c r="AY125" s="159" t="s">
        <v>126</v>
      </c>
      <c r="BK125" s="166">
        <f>BK126+BK137+BK141</f>
        <v>0</v>
      </c>
    </row>
    <row r="126" spans="2:65" s="158" customFormat="1" ht="22.9" customHeight="1" x14ac:dyDescent="0.2">
      <c r="B126" s="157"/>
      <c r="D126" s="159" t="s">
        <v>123</v>
      </c>
      <c r="E126" s="167" t="s">
        <v>193</v>
      </c>
      <c r="F126" s="167" t="s">
        <v>194</v>
      </c>
      <c r="J126" s="168">
        <f>BK126</f>
        <v>0</v>
      </c>
      <c r="L126" s="157"/>
      <c r="M126" s="162"/>
      <c r="P126" s="163">
        <f>SUM(P127:P136)</f>
        <v>389.38625999999999</v>
      </c>
      <c r="R126" s="163">
        <f>SUM(R127:R136)</f>
        <v>0.59346999999999994</v>
      </c>
      <c r="T126" s="164">
        <f>SUM(T127:T136)</f>
        <v>25.7316</v>
      </c>
      <c r="AR126" s="159" t="s">
        <v>88</v>
      </c>
      <c r="AT126" s="165" t="s">
        <v>123</v>
      </c>
      <c r="AU126" s="165" t="s">
        <v>42</v>
      </c>
      <c r="AY126" s="159" t="s">
        <v>126</v>
      </c>
      <c r="BK126" s="166">
        <f>SUM(BK127:BK136)</f>
        <v>0</v>
      </c>
    </row>
    <row r="127" spans="2:65" s="26" customFormat="1" ht="16.5" customHeight="1" x14ac:dyDescent="0.25">
      <c r="B127" s="169"/>
      <c r="C127" s="170">
        <v>21</v>
      </c>
      <c r="D127" s="170" t="s">
        <v>129</v>
      </c>
      <c r="E127" s="171" t="s">
        <v>465</v>
      </c>
      <c r="F127" s="172" t="s">
        <v>466</v>
      </c>
      <c r="G127" s="173" t="s">
        <v>136</v>
      </c>
      <c r="H127" s="174">
        <v>593</v>
      </c>
      <c r="I127" s="174"/>
      <c r="J127" s="174">
        <f>ROUND(I127*H127,3)</f>
        <v>0</v>
      </c>
      <c r="K127" s="172" t="s">
        <v>9</v>
      </c>
      <c r="L127" s="132"/>
      <c r="M127" s="175" t="s">
        <v>9</v>
      </c>
      <c r="N127" s="176" t="s">
        <v>27</v>
      </c>
      <c r="O127" s="177">
        <v>0.43458000000000002</v>
      </c>
      <c r="P127" s="177">
        <f>O127*H127</f>
        <v>257.70594</v>
      </c>
      <c r="Q127" s="177">
        <v>9.8999999999999999E-4</v>
      </c>
      <c r="R127" s="177">
        <f>Q127*H127</f>
        <v>0.58706999999999998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467</v>
      </c>
    </row>
    <row r="128" spans="2:65" s="26" customFormat="1" ht="16.5" customHeight="1" x14ac:dyDescent="0.25">
      <c r="B128" s="169"/>
      <c r="C128" s="170">
        <v>22</v>
      </c>
      <c r="D128" s="170" t="s">
        <v>129</v>
      </c>
      <c r="E128" s="171" t="s">
        <v>210</v>
      </c>
      <c r="F128" s="172" t="s">
        <v>211</v>
      </c>
      <c r="G128" s="173" t="s">
        <v>136</v>
      </c>
      <c r="H128" s="174">
        <f>H129</f>
        <v>786</v>
      </c>
      <c r="I128" s="174"/>
      <c r="J128" s="174">
        <f>ROUND(I128*H128,3)</f>
        <v>0</v>
      </c>
      <c r="K128" s="172" t="s">
        <v>9</v>
      </c>
      <c r="L128" s="132"/>
      <c r="M128" s="175" t="s">
        <v>9</v>
      </c>
      <c r="N128" s="176" t="s">
        <v>27</v>
      </c>
      <c r="O128" s="177">
        <v>7.0999999999999994E-2</v>
      </c>
      <c r="P128" s="177">
        <f>O128*H128</f>
        <v>55.805999999999997</v>
      </c>
      <c r="Q128" s="177">
        <v>0</v>
      </c>
      <c r="R128" s="177">
        <f>Q128*H128</f>
        <v>0</v>
      </c>
      <c r="S128" s="177">
        <v>1.6E-2</v>
      </c>
      <c r="T128" s="178">
        <f>S128*H128</f>
        <v>12.576000000000001</v>
      </c>
      <c r="AR128" s="128" t="s">
        <v>197</v>
      </c>
      <c r="AT128" s="128" t="s">
        <v>129</v>
      </c>
      <c r="AU128" s="128" t="s">
        <v>88</v>
      </c>
      <c r="AY128" s="128" t="s">
        <v>126</v>
      </c>
      <c r="BE128" s="138">
        <f>IF(N128="základná",J128,0)</f>
        <v>0</v>
      </c>
      <c r="BF128" s="138">
        <f>IF(N128="znížená",J128,0)</f>
        <v>0</v>
      </c>
      <c r="BG128" s="138">
        <f>IF(N128="zákl. prenesená",J128,0)</f>
        <v>0</v>
      </c>
      <c r="BH128" s="138">
        <f>IF(N128="zníž. prenesená",J128,0)</f>
        <v>0</v>
      </c>
      <c r="BI128" s="138">
        <f>IF(N128="nulová",J128,0)</f>
        <v>0</v>
      </c>
      <c r="BJ128" s="128" t="s">
        <v>88</v>
      </c>
      <c r="BK128" s="166">
        <f>ROUND(I128*H128,3)</f>
        <v>0</v>
      </c>
      <c r="BL128" s="128" t="s">
        <v>197</v>
      </c>
      <c r="BM128" s="128" t="s">
        <v>212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650</v>
      </c>
      <c r="H129" s="166">
        <f>604+182</f>
        <v>786</v>
      </c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42</v>
      </c>
      <c r="AY129" s="128" t="s">
        <v>126</v>
      </c>
    </row>
    <row r="130" spans="2:65" s="26" customFormat="1" ht="16.5" customHeight="1" x14ac:dyDescent="0.25">
      <c r="B130" s="169"/>
      <c r="C130" s="170">
        <v>23</v>
      </c>
      <c r="D130" s="170" t="s">
        <v>129</v>
      </c>
      <c r="E130" s="171" t="s">
        <v>214</v>
      </c>
      <c r="F130" s="172" t="s">
        <v>416</v>
      </c>
      <c r="G130" s="173" t="s">
        <v>136</v>
      </c>
      <c r="H130" s="174">
        <f>H133</f>
        <v>1812</v>
      </c>
      <c r="I130" s="174"/>
      <c r="J130" s="174">
        <f>ROUND(I130*H130,3)</f>
        <v>0</v>
      </c>
      <c r="K130" s="172" t="s">
        <v>156</v>
      </c>
      <c r="L130" s="132"/>
      <c r="M130" s="175" t="s">
        <v>9</v>
      </c>
      <c r="N130" s="176" t="s">
        <v>27</v>
      </c>
      <c r="O130" s="177">
        <v>8.0000000000000002E-3</v>
      </c>
      <c r="P130" s="177">
        <f>O130*H130</f>
        <v>14.496</v>
      </c>
      <c r="Q130" s="177">
        <v>0</v>
      </c>
      <c r="R130" s="177">
        <f>Q130*H130</f>
        <v>0</v>
      </c>
      <c r="S130" s="177">
        <v>6.0000000000000001E-3</v>
      </c>
      <c r="T130" s="178">
        <f>S130*H130</f>
        <v>10.872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216</v>
      </c>
    </row>
    <row r="131" spans="2:65" s="26" customFormat="1" x14ac:dyDescent="0.25">
      <c r="B131" s="132"/>
      <c r="D131" s="179" t="s">
        <v>161</v>
      </c>
      <c r="E131" s="128" t="s">
        <v>9</v>
      </c>
      <c r="F131" s="143" t="s">
        <v>651</v>
      </c>
      <c r="H131" s="166">
        <f>604*3</f>
        <v>1812</v>
      </c>
      <c r="L131" s="132"/>
      <c r="M131" s="180"/>
      <c r="T131" s="181"/>
      <c r="AT131" s="128" t="s">
        <v>161</v>
      </c>
      <c r="AU131" s="128" t="s">
        <v>88</v>
      </c>
      <c r="AV131" s="26" t="s">
        <v>88</v>
      </c>
      <c r="AW131" s="26" t="s">
        <v>163</v>
      </c>
      <c r="AX131" s="26" t="s">
        <v>39</v>
      </c>
      <c r="AY131" s="128" t="s">
        <v>126</v>
      </c>
    </row>
    <row r="132" spans="2:65" s="26" customFormat="1" x14ac:dyDescent="0.25">
      <c r="B132" s="132"/>
      <c r="D132" s="179"/>
      <c r="E132" s="128"/>
      <c r="F132" s="143"/>
      <c r="H132" s="166"/>
      <c r="L132" s="132"/>
      <c r="M132" s="180"/>
      <c r="T132" s="181"/>
      <c r="AT132" s="128"/>
      <c r="AU132" s="128"/>
      <c r="AY132" s="128"/>
    </row>
    <row r="133" spans="2:65" s="26" customFormat="1" x14ac:dyDescent="0.25">
      <c r="B133" s="132"/>
      <c r="D133" s="179" t="s">
        <v>161</v>
      </c>
      <c r="E133" s="128" t="s">
        <v>9</v>
      </c>
      <c r="F133" s="143" t="s">
        <v>218</v>
      </c>
      <c r="H133" s="166">
        <f>SUM(H131)</f>
        <v>1812</v>
      </c>
      <c r="L133" s="132"/>
      <c r="M133" s="180"/>
      <c r="T133" s="181"/>
      <c r="AT133" s="128" t="s">
        <v>161</v>
      </c>
      <c r="AU133" s="128" t="s">
        <v>88</v>
      </c>
      <c r="AV133" s="26" t="s">
        <v>132</v>
      </c>
      <c r="AW133" s="26" t="s">
        <v>163</v>
      </c>
      <c r="AX133" s="26" t="s">
        <v>42</v>
      </c>
      <c r="AY133" s="128" t="s">
        <v>126</v>
      </c>
    </row>
    <row r="134" spans="2:65" s="26" customFormat="1" ht="16.5" customHeight="1" x14ac:dyDescent="0.25">
      <c r="B134" s="169"/>
      <c r="C134" s="170">
        <v>24</v>
      </c>
      <c r="D134" s="170" t="s">
        <v>129</v>
      </c>
      <c r="E134" s="171" t="s">
        <v>219</v>
      </c>
      <c r="F134" s="172" t="s">
        <v>546</v>
      </c>
      <c r="G134" s="173" t="s">
        <v>136</v>
      </c>
      <c r="H134" s="174">
        <f>593*0.6</f>
        <v>355.8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5.1999999999999998E-2</v>
      </c>
      <c r="P134" s="177">
        <f>O134*H134</f>
        <v>18.5016</v>
      </c>
      <c r="Q134" s="177">
        <v>0</v>
      </c>
      <c r="R134" s="177">
        <f>Q134*H134</f>
        <v>0</v>
      </c>
      <c r="S134" s="177">
        <v>2E-3</v>
      </c>
      <c r="T134" s="178">
        <f>S134*H134</f>
        <v>0.71160000000000001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221</v>
      </c>
    </row>
    <row r="135" spans="2:65" s="26" customFormat="1" ht="16.5" customHeight="1" x14ac:dyDescent="0.25">
      <c r="B135" s="169"/>
      <c r="C135" s="170">
        <v>25</v>
      </c>
      <c r="D135" s="170" t="s">
        <v>129</v>
      </c>
      <c r="E135" s="171" t="s">
        <v>219</v>
      </c>
      <c r="F135" s="172" t="s">
        <v>222</v>
      </c>
      <c r="G135" s="173" t="s">
        <v>136</v>
      </c>
      <c r="H135" s="174">
        <f>H128</f>
        <v>786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5.1999999999999998E-2</v>
      </c>
      <c r="P135" s="177">
        <f>O135*H135</f>
        <v>40.872</v>
      </c>
      <c r="Q135" s="177">
        <v>0</v>
      </c>
      <c r="R135" s="177">
        <f>Q135*H135</f>
        <v>0</v>
      </c>
      <c r="S135" s="177">
        <v>2E-3</v>
      </c>
      <c r="T135" s="178">
        <f>S135*H135</f>
        <v>1.5720000000000001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221</v>
      </c>
    </row>
    <row r="136" spans="2:65" s="26" customFormat="1" ht="16.5" customHeight="1" x14ac:dyDescent="0.25">
      <c r="B136" s="169"/>
      <c r="C136" s="170">
        <v>26</v>
      </c>
      <c r="D136" s="170" t="s">
        <v>129</v>
      </c>
      <c r="E136" s="171" t="s">
        <v>203</v>
      </c>
      <c r="F136" s="172" t="s">
        <v>204</v>
      </c>
      <c r="G136" s="173" t="s">
        <v>205</v>
      </c>
      <c r="H136" s="174">
        <v>4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0.50117999999999996</v>
      </c>
      <c r="P136" s="177">
        <f>O136*H136</f>
        <v>2.0047199999999998</v>
      </c>
      <c r="Q136" s="177">
        <v>1.6000000000000001E-3</v>
      </c>
      <c r="R136" s="177">
        <f>Q136*H136</f>
        <v>6.4000000000000003E-3</v>
      </c>
      <c r="S136" s="177">
        <v>0</v>
      </c>
      <c r="T136" s="178">
        <f>S136*H136</f>
        <v>0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652</v>
      </c>
    </row>
    <row r="137" spans="2:65" s="158" customFormat="1" ht="22.9" customHeight="1" x14ac:dyDescent="0.2">
      <c r="B137" s="157"/>
      <c r="D137" s="159" t="s">
        <v>123</v>
      </c>
      <c r="E137" s="167" t="s">
        <v>223</v>
      </c>
      <c r="F137" s="167" t="s">
        <v>224</v>
      </c>
      <c r="J137" s="168">
        <f>BK137</f>
        <v>0</v>
      </c>
      <c r="L137" s="157"/>
      <c r="M137" s="162"/>
      <c r="P137" s="163">
        <f>SUM(P138:P140)</f>
        <v>61.255379999999995</v>
      </c>
      <c r="R137" s="163">
        <f>SUM(R138:R140)</f>
        <v>9.6000000000000009E-3</v>
      </c>
      <c r="T137" s="164">
        <f>SUM(T138:T140)</f>
        <v>3.9613860000000001</v>
      </c>
      <c r="AR137" s="159" t="s">
        <v>88</v>
      </c>
      <c r="AT137" s="165" t="s">
        <v>123</v>
      </c>
      <c r="AU137" s="165" t="s">
        <v>42</v>
      </c>
      <c r="AY137" s="159" t="s">
        <v>126</v>
      </c>
      <c r="BK137" s="166">
        <f>SUM(BK138:BK140)</f>
        <v>0</v>
      </c>
    </row>
    <row r="138" spans="2:65" s="26" customFormat="1" ht="16.5" customHeight="1" x14ac:dyDescent="0.25">
      <c r="B138" s="169"/>
      <c r="C138" s="170">
        <v>27</v>
      </c>
      <c r="D138" s="170" t="s">
        <v>129</v>
      </c>
      <c r="E138" s="171" t="s">
        <v>232</v>
      </c>
      <c r="F138" s="172" t="s">
        <v>233</v>
      </c>
      <c r="G138" s="173" t="s">
        <v>234</v>
      </c>
      <c r="H138" s="174">
        <v>188.1</v>
      </c>
      <c r="I138" s="174"/>
      <c r="J138" s="174">
        <f>ROUND(I138*H138,3)</f>
        <v>0</v>
      </c>
      <c r="K138" s="172" t="s">
        <v>9</v>
      </c>
      <c r="L138" s="132"/>
      <c r="M138" s="175" t="s">
        <v>9</v>
      </c>
      <c r="N138" s="176" t="s">
        <v>27</v>
      </c>
      <c r="O138" s="177">
        <v>0.29299999999999998</v>
      </c>
      <c r="P138" s="177">
        <f>O138*H138</f>
        <v>55.113299999999995</v>
      </c>
      <c r="Q138" s="177">
        <v>0</v>
      </c>
      <c r="R138" s="177">
        <f>Q138*H138</f>
        <v>0</v>
      </c>
      <c r="S138" s="177">
        <v>2.0500000000000001E-2</v>
      </c>
      <c r="T138" s="178">
        <f>S138*H138</f>
        <v>3.8560500000000002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235</v>
      </c>
    </row>
    <row r="139" spans="2:65" s="26" customFormat="1" ht="16.5" customHeight="1" x14ac:dyDescent="0.25">
      <c r="B139" s="169"/>
      <c r="C139" s="170">
        <v>28</v>
      </c>
      <c r="D139" s="170" t="s">
        <v>129</v>
      </c>
      <c r="E139" s="171" t="s">
        <v>228</v>
      </c>
      <c r="F139" s="172" t="s">
        <v>229</v>
      </c>
      <c r="G139" s="173" t="s">
        <v>230</v>
      </c>
      <c r="H139" s="174">
        <v>41.8</v>
      </c>
      <c r="I139" s="174"/>
      <c r="J139" s="174">
        <f>ROUND(I139*H139,3)</f>
        <v>0</v>
      </c>
      <c r="K139" s="172" t="s">
        <v>9</v>
      </c>
      <c r="L139" s="132"/>
      <c r="M139" s="175" t="s">
        <v>9</v>
      </c>
      <c r="N139" s="176" t="s">
        <v>27</v>
      </c>
      <c r="O139" s="177">
        <v>7.4999999999999997E-2</v>
      </c>
      <c r="P139" s="177">
        <f>O139*H139</f>
        <v>3.1349999999999998</v>
      </c>
      <c r="Q139" s="177">
        <v>0</v>
      </c>
      <c r="R139" s="177">
        <f>Q139*H139</f>
        <v>0</v>
      </c>
      <c r="S139" s="177">
        <v>2.5200000000000001E-3</v>
      </c>
      <c r="T139" s="178">
        <f>S139*H139</f>
        <v>0.105336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231</v>
      </c>
    </row>
    <row r="140" spans="2:65" s="26" customFormat="1" ht="16.5" customHeight="1" x14ac:dyDescent="0.25">
      <c r="B140" s="169"/>
      <c r="C140" s="170">
        <v>29</v>
      </c>
      <c r="D140" s="170" t="s">
        <v>129</v>
      </c>
      <c r="E140" s="171" t="s">
        <v>239</v>
      </c>
      <c r="F140" s="172" t="s">
        <v>240</v>
      </c>
      <c r="G140" s="173" t="s">
        <v>205</v>
      </c>
      <c r="H140" s="174">
        <v>6</v>
      </c>
      <c r="I140" s="174"/>
      <c r="J140" s="174">
        <f>ROUND(I140*H140,3)</f>
        <v>0</v>
      </c>
      <c r="K140" s="172" t="s">
        <v>9</v>
      </c>
      <c r="L140" s="132"/>
      <c r="M140" s="175" t="s">
        <v>9</v>
      </c>
      <c r="N140" s="176" t="s">
        <v>27</v>
      </c>
      <c r="O140" s="177">
        <v>0.50117999999999996</v>
      </c>
      <c r="P140" s="177">
        <f>O140*H140</f>
        <v>3.0070799999999998</v>
      </c>
      <c r="Q140" s="177">
        <v>1.6000000000000001E-3</v>
      </c>
      <c r="R140" s="177">
        <f>Q140*H140</f>
        <v>9.6000000000000009E-3</v>
      </c>
      <c r="S140" s="177">
        <v>0</v>
      </c>
      <c r="T140" s="178">
        <f>S140*H140</f>
        <v>0</v>
      </c>
      <c r="AR140" s="128" t="s">
        <v>197</v>
      </c>
      <c r="AT140" s="128" t="s">
        <v>129</v>
      </c>
      <c r="AU140" s="128" t="s">
        <v>88</v>
      </c>
      <c r="AY140" s="128" t="s">
        <v>126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28" t="s">
        <v>88</v>
      </c>
      <c r="BK140" s="166">
        <f>ROUND(I140*H140,3)</f>
        <v>0</v>
      </c>
      <c r="BL140" s="128" t="s">
        <v>197</v>
      </c>
      <c r="BM140" s="128" t="s">
        <v>241</v>
      </c>
    </row>
    <row r="141" spans="2:65" s="158" customFormat="1" ht="22.9" customHeight="1" x14ac:dyDescent="0.2">
      <c r="B141" s="157"/>
      <c r="D141" s="159" t="s">
        <v>123</v>
      </c>
      <c r="E141" s="167" t="s">
        <v>242</v>
      </c>
      <c r="F141" s="167" t="s">
        <v>243</v>
      </c>
      <c r="J141" s="168">
        <f>BK141</f>
        <v>0</v>
      </c>
      <c r="L141" s="157"/>
      <c r="M141" s="209"/>
      <c r="N141" s="210"/>
      <c r="O141" s="210"/>
      <c r="P141" s="211">
        <v>0</v>
      </c>
      <c r="Q141" s="210"/>
      <c r="R141" s="211">
        <v>0</v>
      </c>
      <c r="S141" s="210"/>
      <c r="T141" s="212">
        <v>0</v>
      </c>
      <c r="AR141" s="159" t="s">
        <v>88</v>
      </c>
      <c r="AT141" s="165" t="s">
        <v>123</v>
      </c>
      <c r="AU141" s="165" t="s">
        <v>42</v>
      </c>
      <c r="AY141" s="159" t="s">
        <v>126</v>
      </c>
      <c r="BK141" s="166">
        <v>0</v>
      </c>
    </row>
    <row r="142" spans="2:65" s="26" customFormat="1" ht="6.95" customHeight="1" x14ac:dyDescent="0.25">
      <c r="B142" s="141"/>
      <c r="C142" s="36"/>
      <c r="D142" s="36"/>
      <c r="E142" s="36"/>
      <c r="F142" s="36"/>
      <c r="G142" s="36"/>
      <c r="H142" s="36"/>
      <c r="I142" s="36"/>
      <c r="J142" s="36"/>
      <c r="K142" s="36"/>
      <c r="L142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1"/>
  <sheetViews>
    <sheetView topLeftCell="A89" zoomScaleNormal="100" workbookViewId="0">
      <selection activeCell="W90" sqref="W90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49.42578125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43</v>
      </c>
      <c r="AZ2" s="128" t="s">
        <v>85</v>
      </c>
      <c r="BA2" s="128" t="s">
        <v>86</v>
      </c>
      <c r="BB2" s="128" t="s">
        <v>9</v>
      </c>
      <c r="BC2" s="128" t="s">
        <v>87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89</v>
      </c>
      <c r="BA3" s="128" t="s">
        <v>90</v>
      </c>
      <c r="BB3" s="128" t="s">
        <v>9</v>
      </c>
      <c r="BC3" s="128" t="s">
        <v>91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90</v>
      </c>
      <c r="BA4" s="128" t="s">
        <v>94</v>
      </c>
      <c r="BB4" s="128" t="s">
        <v>9</v>
      </c>
      <c r="BC4" s="128" t="s">
        <v>95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402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ROUND((SUM(BE86:BE140)),  2)</f>
        <v>0</v>
      </c>
      <c r="I33" s="139">
        <v>0.2</v>
      </c>
      <c r="J33" s="138">
        <f>ROUND(((SUM(BE86:BE140))*I33),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ROUND((SUM(BF86:BF140)),  2)</f>
        <v>0</v>
      </c>
      <c r="I34" s="139">
        <v>0.2</v>
      </c>
      <c r="J34" s="138">
        <f>ROUND(((SUM(BF86:BF140))*I34),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ROUND((SUM(BG86:BG140)),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ROUND((SUM(BH86:BH140)),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ROUND((SUM(BI86:BI140)),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A- demontáž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J118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J119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J133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J139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110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/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J87+J118</f>
        <v>0</v>
      </c>
      <c r="L86" s="132"/>
      <c r="M86" s="153"/>
      <c r="N86" s="134"/>
      <c r="O86" s="134"/>
      <c r="P86" s="154">
        <f>P87+P118</f>
        <v>4312.9207530889007</v>
      </c>
      <c r="Q86" s="134"/>
      <c r="R86" s="154">
        <f>R87+R118</f>
        <v>35.040909351700002</v>
      </c>
      <c r="S86" s="134"/>
      <c r="T86" s="155">
        <f>T87+T118</f>
        <v>148.65312799999998</v>
      </c>
      <c r="AT86" s="128" t="s">
        <v>123</v>
      </c>
      <c r="AU86" s="128" t="s">
        <v>101</v>
      </c>
      <c r="BK86" s="156">
        <f>BK87+BK118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BK87</f>
        <v>0</v>
      </c>
      <c r="L87" s="157"/>
      <c r="M87" s="162"/>
      <c r="P87" s="163">
        <f>P88+P91</f>
        <v>3540.6577550889006</v>
      </c>
      <c r="R87" s="163">
        <f>R88+R91</f>
        <v>34.905209351700002</v>
      </c>
      <c r="T87" s="164">
        <f>T88+T91</f>
        <v>33.524999999999999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>
        <f>SUM(P89:P90)</f>
        <v>725.17008508890001</v>
      </c>
      <c r="R88" s="163">
        <f>SUM(R89:R90)</f>
        <v>34.905209351700002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35.450000000000003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v>102.50674500000001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/>
      <c r="O89" s="177">
        <v>0.42921999999999999</v>
      </c>
      <c r="P89" s="177">
        <f>O89*H89</f>
        <v>43.997945088900003</v>
      </c>
      <c r="Q89" s="177">
        <v>2.0660000000000001E-2</v>
      </c>
      <c r="R89" s="177">
        <f>Q89*H89</f>
        <v>2.1177893517000004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1587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/>
      <c r="O90" s="177">
        <v>0.42921999999999999</v>
      </c>
      <c r="P90" s="177">
        <f>O90*H90</f>
        <v>681.17214000000001</v>
      </c>
      <c r="Q90" s="177">
        <v>2.0660000000000001E-2</v>
      </c>
      <c r="R90" s="177">
        <f>Q90*H90</f>
        <v>32.787420000000004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SUM(J92:J117)</f>
        <v>0</v>
      </c>
      <c r="L91" s="157"/>
      <c r="M91" s="162"/>
      <c r="P91" s="163">
        <f>SUM(P92:P117)</f>
        <v>2815.4876700000004</v>
      </c>
      <c r="R91" s="163">
        <f>SUM(R92:R117)</f>
        <v>0</v>
      </c>
      <c r="T91" s="164">
        <f>SUM(T92:T117)</f>
        <v>33.524999999999999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SUM(BK92:BK117)</f>
        <v>0</v>
      </c>
    </row>
    <row r="92" spans="2:65" s="26" customFormat="1" ht="16.5" customHeight="1" x14ac:dyDescent="0.25">
      <c r="B92" s="169"/>
      <c r="C92" s="170" t="s">
        <v>140</v>
      </c>
      <c r="D92" s="170" t="s">
        <v>129</v>
      </c>
      <c r="E92" s="171" t="s">
        <v>141</v>
      </c>
      <c r="F92" s="172" t="s">
        <v>142</v>
      </c>
      <c r="G92" s="173" t="s">
        <v>136</v>
      </c>
      <c r="H92" s="174">
        <v>745</v>
      </c>
      <c r="I92" s="174"/>
      <c r="J92" s="174">
        <f>ROUND(I92*H92,3)</f>
        <v>0</v>
      </c>
      <c r="K92" s="172" t="s">
        <v>9</v>
      </c>
      <c r="L92" s="132"/>
      <c r="M92" s="175" t="s">
        <v>9</v>
      </c>
      <c r="N92" s="176"/>
      <c r="O92" s="177">
        <v>0.13400000000000001</v>
      </c>
      <c r="P92" s="177">
        <f>O92*H92</f>
        <v>99.830000000000013</v>
      </c>
      <c r="Q92" s="177">
        <v>0</v>
      </c>
      <c r="R92" s="177">
        <f>Q92*H92</f>
        <v>0</v>
      </c>
      <c r="S92" s="177">
        <v>4.4999999999999998E-2</v>
      </c>
      <c r="T92" s="178">
        <f>S92*H92</f>
        <v>33.524999999999999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143</v>
      </c>
    </row>
    <row r="93" spans="2:65" s="26" customFormat="1" ht="22.15" customHeight="1" x14ac:dyDescent="0.25">
      <c r="B93" s="169"/>
      <c r="C93" s="170" t="s">
        <v>132</v>
      </c>
      <c r="D93" s="170" t="s">
        <v>129</v>
      </c>
      <c r="E93" s="171" t="s">
        <v>144</v>
      </c>
      <c r="F93" s="172" t="s">
        <v>145</v>
      </c>
      <c r="G93" s="173" t="s">
        <v>146</v>
      </c>
      <c r="H93" s="174">
        <f>H97+H104+H110</f>
        <v>338.18899999999996</v>
      </c>
      <c r="I93" s="174"/>
      <c r="J93" s="174">
        <f>ROUND(I93*H93,3)</f>
        <v>0</v>
      </c>
      <c r="K93" s="172" t="s">
        <v>9</v>
      </c>
      <c r="L93" s="132"/>
      <c r="M93" s="175" t="s">
        <v>9</v>
      </c>
      <c r="N93" s="176"/>
      <c r="O93" s="177">
        <v>0.89</v>
      </c>
      <c r="P93" s="177">
        <f>O93*H93</f>
        <v>300.98820999999998</v>
      </c>
      <c r="Q93" s="177">
        <v>0</v>
      </c>
      <c r="R93" s="177">
        <f>Q93*H93</f>
        <v>0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147</v>
      </c>
    </row>
    <row r="94" spans="2:65" s="26" customFormat="1" ht="22.15" customHeight="1" x14ac:dyDescent="0.25">
      <c r="B94" s="169"/>
      <c r="C94" s="170">
        <f>C93+1</f>
        <v>5</v>
      </c>
      <c r="D94" s="170"/>
      <c r="E94" s="171" t="s">
        <v>148</v>
      </c>
      <c r="F94" s="172" t="s">
        <v>149</v>
      </c>
      <c r="G94" s="173" t="s">
        <v>146</v>
      </c>
      <c r="H94" s="174">
        <f>H93*10</f>
        <v>3381.8899999999994</v>
      </c>
      <c r="I94" s="174"/>
      <c r="J94" s="174">
        <f>ROUND(I94*H94,3)</f>
        <v>0</v>
      </c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>
        <f>ROUND(I94*H94,3)</f>
        <v>0</v>
      </c>
      <c r="BL94" s="128"/>
      <c r="BM94" s="128"/>
    </row>
    <row r="95" spans="2:65" s="26" customFormat="1" ht="22.15" customHeight="1" x14ac:dyDescent="0.25">
      <c r="B95" s="169"/>
      <c r="C95" s="170"/>
      <c r="D95" s="170"/>
      <c r="E95" s="171"/>
      <c r="F95" s="172" t="s">
        <v>150</v>
      </c>
      <c r="G95" s="173"/>
      <c r="H95" s="174"/>
      <c r="I95" s="174"/>
      <c r="J95" s="174"/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22.15" customHeight="1" x14ac:dyDescent="0.25">
      <c r="B96" s="169"/>
      <c r="C96" s="170">
        <f>C94+1</f>
        <v>6</v>
      </c>
      <c r="D96" s="170"/>
      <c r="E96" s="171" t="s">
        <v>151</v>
      </c>
      <c r="F96" s="172" t="s">
        <v>152</v>
      </c>
      <c r="G96" s="173" t="s">
        <v>153</v>
      </c>
      <c r="H96" s="174">
        <v>1</v>
      </c>
      <c r="I96" s="174"/>
      <c r="J96" s="174">
        <f>ROUND(I96*H96,3)</f>
        <v>0</v>
      </c>
      <c r="K96" s="172"/>
      <c r="L96" s="132"/>
      <c r="M96" s="175"/>
      <c r="N96" s="176"/>
      <c r="O96" s="177"/>
      <c r="P96" s="177"/>
      <c r="Q96" s="177"/>
      <c r="R96" s="177"/>
      <c r="S96" s="177"/>
      <c r="T96" s="178"/>
      <c r="AR96" s="128"/>
      <c r="AT96" s="128"/>
      <c r="AU96" s="128"/>
      <c r="AY96" s="128"/>
      <c r="BE96" s="138"/>
      <c r="BF96" s="138"/>
      <c r="BG96" s="138"/>
      <c r="BH96" s="138"/>
      <c r="BI96" s="138"/>
      <c r="BJ96" s="128"/>
      <c r="BK96" s="166">
        <f>ROUND(I96*H96,3)</f>
        <v>0</v>
      </c>
      <c r="BL96" s="128"/>
      <c r="BM96" s="128"/>
    </row>
    <row r="97" spans="2:65" s="26" customFormat="1" ht="32.450000000000003" customHeight="1" x14ac:dyDescent="0.25">
      <c r="B97" s="169"/>
      <c r="C97" s="170">
        <f t="shared" ref="C97:C98" si="0">C95+1</f>
        <v>1</v>
      </c>
      <c r="D97" s="170" t="s">
        <v>129</v>
      </c>
      <c r="E97" s="171" t="s">
        <v>154</v>
      </c>
      <c r="F97" s="172" t="s">
        <v>155</v>
      </c>
      <c r="G97" s="173" t="s">
        <v>146</v>
      </c>
      <c r="H97" s="174">
        <v>95.382000000000005</v>
      </c>
      <c r="I97" s="174"/>
      <c r="J97" s="174">
        <f>ROUND(I97*H97,3)</f>
        <v>0</v>
      </c>
      <c r="K97" s="172" t="s">
        <v>156</v>
      </c>
      <c r="L97" s="132"/>
      <c r="M97" s="175" t="s">
        <v>9</v>
      </c>
      <c r="N97" s="176"/>
      <c r="O97" s="177">
        <v>0</v>
      </c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157</v>
      </c>
    </row>
    <row r="98" spans="2:65" s="26" customFormat="1" ht="36" customHeight="1" x14ac:dyDescent="0.25">
      <c r="B98" s="169"/>
      <c r="C98" s="170">
        <f t="shared" si="0"/>
        <v>7</v>
      </c>
      <c r="D98" s="170" t="s">
        <v>129</v>
      </c>
      <c r="E98" s="171" t="s">
        <v>158</v>
      </c>
      <c r="F98" s="172" t="s">
        <v>159</v>
      </c>
      <c r="G98" s="173" t="s">
        <v>146</v>
      </c>
      <c r="H98" s="174">
        <v>95.382000000000005</v>
      </c>
      <c r="I98" s="174"/>
      <c r="J98" s="174">
        <f>ROUND(I98*H98,3)</f>
        <v>0</v>
      </c>
      <c r="K98" s="172" t="s">
        <v>9</v>
      </c>
      <c r="L98" s="132"/>
      <c r="M98" s="175" t="s">
        <v>9</v>
      </c>
      <c r="N98" s="176"/>
      <c r="O98" s="177">
        <v>0.88200000000000001</v>
      </c>
      <c r="P98" s="177">
        <f>O98*H98</f>
        <v>84.126924000000002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28" t="s">
        <v>132</v>
      </c>
      <c r="AT98" s="128" t="s">
        <v>129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132</v>
      </c>
      <c r="BM98" s="128" t="s">
        <v>160</v>
      </c>
    </row>
    <row r="99" spans="2:65" s="26" customFormat="1" x14ac:dyDescent="0.25">
      <c r="B99" s="132"/>
      <c r="D99" s="179" t="s">
        <v>161</v>
      </c>
      <c r="E99" s="128" t="s">
        <v>9</v>
      </c>
      <c r="F99" s="143" t="s">
        <v>162</v>
      </c>
      <c r="H99" s="166">
        <v>95.382000000000005</v>
      </c>
      <c r="L99" s="132"/>
      <c r="M99" s="180"/>
      <c r="T99" s="181"/>
      <c r="AT99" s="128" t="s">
        <v>161</v>
      </c>
      <c r="AU99" s="128" t="s">
        <v>88</v>
      </c>
      <c r="AV99" s="26" t="s">
        <v>88</v>
      </c>
      <c r="AW99" s="26" t="s">
        <v>163</v>
      </c>
      <c r="AX99" s="26" t="s">
        <v>42</v>
      </c>
      <c r="AY99" s="128" t="s">
        <v>126</v>
      </c>
    </row>
    <row r="100" spans="2:65" s="26" customFormat="1" ht="16.5" customHeight="1" x14ac:dyDescent="0.25">
      <c r="B100" s="169"/>
      <c r="C100" s="170">
        <f>C98+1</f>
        <v>8</v>
      </c>
      <c r="D100" s="170" t="s">
        <v>129</v>
      </c>
      <c r="E100" s="171" t="s">
        <v>164</v>
      </c>
      <c r="F100" s="172" t="s">
        <v>165</v>
      </c>
      <c r="G100" s="173" t="s">
        <v>146</v>
      </c>
      <c r="H100" s="174">
        <f>H97*9</f>
        <v>858.4380000000001</v>
      </c>
      <c r="I100" s="174"/>
      <c r="J100" s="174">
        <f>ROUND(I100*H100,3)</f>
        <v>0</v>
      </c>
      <c r="K100" s="172" t="s">
        <v>156</v>
      </c>
      <c r="L100" s="132"/>
      <c r="M100" s="175" t="s">
        <v>9</v>
      </c>
      <c r="N100" s="176"/>
      <c r="O100" s="177">
        <v>0.61799999999999999</v>
      </c>
      <c r="P100" s="177">
        <f>O100*H100</f>
        <v>530.5146840000001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28" t="s">
        <v>132</v>
      </c>
      <c r="AT100" s="128" t="s">
        <v>129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132</v>
      </c>
      <c r="BM100" s="128" t="s">
        <v>166</v>
      </c>
    </row>
    <row r="101" spans="2:65" s="26" customFormat="1" ht="16.5" customHeight="1" x14ac:dyDescent="0.25">
      <c r="B101" s="169"/>
      <c r="C101" s="170">
        <f>C100+1</f>
        <v>9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v>95.382000000000005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/>
      <c r="O101" s="177">
        <v>0.59799999999999998</v>
      </c>
      <c r="P101" s="177">
        <f>O101*H101</f>
        <v>57.038435999999997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132</v>
      </c>
      <c r="BM101" s="128" t="s">
        <v>169</v>
      </c>
    </row>
    <row r="102" spans="2:65" s="26" customFormat="1" ht="16.5" customHeight="1" x14ac:dyDescent="0.25">
      <c r="B102" s="169"/>
      <c r="C102" s="170">
        <f>C101+1</f>
        <v>10</v>
      </c>
      <c r="D102" s="170" t="s">
        <v>129</v>
      </c>
      <c r="E102" s="171" t="s">
        <v>170</v>
      </c>
      <c r="F102" s="172" t="s">
        <v>171</v>
      </c>
      <c r="G102" s="173" t="s">
        <v>146</v>
      </c>
      <c r="H102" s="174">
        <v>1335.348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/>
      <c r="O102" s="177">
        <v>7.0000000000000001E-3</v>
      </c>
      <c r="P102" s="177">
        <f>O102*H102</f>
        <v>9.3474360000000001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132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132</v>
      </c>
      <c r="BM102" s="128" t="s">
        <v>172</v>
      </c>
    </row>
    <row r="103" spans="2:65" s="26" customFormat="1" x14ac:dyDescent="0.25">
      <c r="B103" s="132"/>
      <c r="D103" s="179" t="s">
        <v>161</v>
      </c>
      <c r="E103" s="128" t="s">
        <v>9</v>
      </c>
      <c r="F103" s="143" t="s">
        <v>173</v>
      </c>
      <c r="H103" s="166">
        <v>1335.348</v>
      </c>
      <c r="L103" s="132"/>
      <c r="M103" s="180"/>
      <c r="T103" s="181"/>
      <c r="AT103" s="128" t="s">
        <v>161</v>
      </c>
      <c r="AU103" s="128" t="s">
        <v>88</v>
      </c>
      <c r="AV103" s="26" t="s">
        <v>88</v>
      </c>
      <c r="AW103" s="26" t="s">
        <v>163</v>
      </c>
      <c r="AX103" s="26" t="s">
        <v>42</v>
      </c>
      <c r="AY103" s="128" t="s">
        <v>126</v>
      </c>
    </row>
    <row r="104" spans="2:65" s="26" customFormat="1" ht="16.5" customHeight="1" x14ac:dyDescent="0.25">
      <c r="B104" s="169"/>
      <c r="C104" s="170">
        <v>11</v>
      </c>
      <c r="D104" s="170" t="s">
        <v>129</v>
      </c>
      <c r="E104" s="171" t="s">
        <v>174</v>
      </c>
      <c r="F104" s="172" t="s">
        <v>175</v>
      </c>
      <c r="G104" s="173" t="s">
        <v>146</v>
      </c>
      <c r="H104" s="174">
        <f>195.8+33.525</f>
        <v>229.32500000000002</v>
      </c>
      <c r="I104" s="174"/>
      <c r="J104" s="174">
        <f>ROUND(I104*H104,3)</f>
        <v>0</v>
      </c>
      <c r="K104" s="172" t="s">
        <v>156</v>
      </c>
      <c r="L104" s="132"/>
      <c r="M104" s="175" t="s">
        <v>9</v>
      </c>
      <c r="N104" s="176"/>
      <c r="O104" s="177">
        <v>0</v>
      </c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28" t="s">
        <v>132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132</v>
      </c>
      <c r="BM104" s="128" t="s">
        <v>176</v>
      </c>
    </row>
    <row r="105" spans="2:65" s="26" customFormat="1" ht="16.5" customHeight="1" x14ac:dyDescent="0.25">
      <c r="B105" s="169"/>
      <c r="C105" s="170">
        <f>C104+1</f>
        <v>12</v>
      </c>
      <c r="D105" s="170" t="s">
        <v>129</v>
      </c>
      <c r="E105" s="171" t="s">
        <v>158</v>
      </c>
      <c r="F105" s="172" t="s">
        <v>159</v>
      </c>
      <c r="G105" s="173" t="s">
        <v>146</v>
      </c>
      <c r="H105" s="174">
        <f>H104</f>
        <v>229.32500000000002</v>
      </c>
      <c r="I105" s="174"/>
      <c r="J105" s="174">
        <f>ROUND(I105*H105,3)</f>
        <v>0</v>
      </c>
      <c r="K105" s="172" t="s">
        <v>9</v>
      </c>
      <c r="L105" s="132"/>
      <c r="M105" s="175" t="s">
        <v>9</v>
      </c>
      <c r="N105" s="176"/>
      <c r="O105" s="177">
        <v>0.88200000000000001</v>
      </c>
      <c r="P105" s="177">
        <f>O105*H105</f>
        <v>202.26465000000002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177</v>
      </c>
    </row>
    <row r="106" spans="2:65" s="26" customFormat="1" ht="16.5" customHeight="1" x14ac:dyDescent="0.25">
      <c r="B106" s="169"/>
      <c r="C106" s="170">
        <f t="shared" ref="C106:C108" si="1">C105+1</f>
        <v>13</v>
      </c>
      <c r="D106" s="170" t="s">
        <v>129</v>
      </c>
      <c r="E106" s="171" t="s">
        <v>164</v>
      </c>
      <c r="F106" s="172" t="s">
        <v>165</v>
      </c>
      <c r="G106" s="173" t="s">
        <v>146</v>
      </c>
      <c r="H106" s="174">
        <f>H104*9</f>
        <v>2063.9250000000002</v>
      </c>
      <c r="I106" s="174"/>
      <c r="J106" s="174">
        <f>ROUND(I106*H106,3)</f>
        <v>0</v>
      </c>
      <c r="K106" s="172" t="s">
        <v>156</v>
      </c>
      <c r="L106" s="132"/>
      <c r="M106" s="175" t="s">
        <v>9</v>
      </c>
      <c r="N106" s="176"/>
      <c r="O106" s="177">
        <v>0.61799999999999999</v>
      </c>
      <c r="P106" s="177">
        <f>O106*H106</f>
        <v>1275.5056500000001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178</v>
      </c>
    </row>
    <row r="107" spans="2:65" s="26" customFormat="1" ht="16.5" customHeight="1" x14ac:dyDescent="0.25">
      <c r="B107" s="169"/>
      <c r="C107" s="170">
        <f t="shared" si="1"/>
        <v>14</v>
      </c>
      <c r="D107" s="170" t="s">
        <v>129</v>
      </c>
      <c r="E107" s="171" t="s">
        <v>167</v>
      </c>
      <c r="F107" s="172" t="s">
        <v>168</v>
      </c>
      <c r="G107" s="173" t="s">
        <v>146</v>
      </c>
      <c r="H107" s="174">
        <f>H104</f>
        <v>229.32500000000002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/>
      <c r="O107" s="177">
        <v>0.59799999999999998</v>
      </c>
      <c r="P107" s="177">
        <f>O107*H107</f>
        <v>137.13634999999999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132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132</v>
      </c>
      <c r="BM107" s="128" t="s">
        <v>179</v>
      </c>
    </row>
    <row r="108" spans="2:65" s="26" customFormat="1" ht="16.5" customHeight="1" x14ac:dyDescent="0.25">
      <c r="B108" s="169"/>
      <c r="C108" s="170">
        <f t="shared" si="1"/>
        <v>15</v>
      </c>
      <c r="D108" s="170" t="s">
        <v>129</v>
      </c>
      <c r="E108" s="171" t="s">
        <v>170</v>
      </c>
      <c r="F108" s="172" t="s">
        <v>171</v>
      </c>
      <c r="G108" s="173" t="s">
        <v>146</v>
      </c>
      <c r="H108" s="174">
        <f>H107*14</f>
        <v>3210.55</v>
      </c>
      <c r="I108" s="174"/>
      <c r="J108" s="174">
        <f>ROUND(I108*H108,3)</f>
        <v>0</v>
      </c>
      <c r="K108" s="172" t="s">
        <v>156</v>
      </c>
      <c r="L108" s="132"/>
      <c r="M108" s="175" t="s">
        <v>9</v>
      </c>
      <c r="N108" s="176"/>
      <c r="O108" s="177">
        <v>7.0000000000000001E-3</v>
      </c>
      <c r="P108" s="177">
        <f>O108*H108</f>
        <v>22.473850000000002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132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132</v>
      </c>
      <c r="BM108" s="128" t="s">
        <v>180</v>
      </c>
    </row>
    <row r="109" spans="2:65" s="26" customFormat="1" x14ac:dyDescent="0.25">
      <c r="B109" s="132"/>
      <c r="D109" s="179" t="s">
        <v>161</v>
      </c>
      <c r="E109" s="128" t="s">
        <v>9</v>
      </c>
      <c r="F109" s="143" t="s">
        <v>181</v>
      </c>
      <c r="H109" s="166"/>
      <c r="L109" s="132"/>
      <c r="M109" s="180"/>
      <c r="T109" s="181"/>
      <c r="AT109" s="128" t="s">
        <v>161</v>
      </c>
      <c r="AU109" s="128" t="s">
        <v>88</v>
      </c>
      <c r="AV109" s="26" t="s">
        <v>88</v>
      </c>
      <c r="AW109" s="26" t="s">
        <v>163</v>
      </c>
      <c r="AX109" s="26" t="s">
        <v>42</v>
      </c>
      <c r="AY109" s="128" t="s">
        <v>126</v>
      </c>
    </row>
    <row r="110" spans="2:65" s="26" customFormat="1" ht="16.5" customHeight="1" x14ac:dyDescent="0.25">
      <c r="B110" s="169"/>
      <c r="C110" s="170">
        <v>16</v>
      </c>
      <c r="D110" s="170" t="s">
        <v>129</v>
      </c>
      <c r="E110" s="171" t="s">
        <v>182</v>
      </c>
      <c r="F110" s="172" t="s">
        <v>183</v>
      </c>
      <c r="G110" s="173" t="s">
        <v>146</v>
      </c>
      <c r="H110" s="174">
        <v>13.481999999999999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/>
      <c r="O110" s="177">
        <v>0</v>
      </c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184</v>
      </c>
    </row>
    <row r="111" spans="2:65" s="26" customFormat="1" ht="16.5" customHeight="1" x14ac:dyDescent="0.25">
      <c r="B111" s="169"/>
      <c r="C111" s="170">
        <v>17</v>
      </c>
      <c r="D111" s="170" t="s">
        <v>129</v>
      </c>
      <c r="E111" s="171" t="s">
        <v>158</v>
      </c>
      <c r="F111" s="172" t="s">
        <v>159</v>
      </c>
      <c r="G111" s="173" t="s">
        <v>146</v>
      </c>
      <c r="H111" s="174">
        <v>13.481999999999999</v>
      </c>
      <c r="I111" s="174"/>
      <c r="J111" s="174">
        <f>ROUND(I111*H111,3)</f>
        <v>0</v>
      </c>
      <c r="K111" s="172" t="s">
        <v>9</v>
      </c>
      <c r="L111" s="132"/>
      <c r="M111" s="175" t="s">
        <v>9</v>
      </c>
      <c r="N111" s="176"/>
      <c r="O111" s="177">
        <v>0.88200000000000001</v>
      </c>
      <c r="P111" s="177">
        <f>O111*H111</f>
        <v>11.891124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132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132</v>
      </c>
      <c r="BM111" s="128" t="s">
        <v>185</v>
      </c>
    </row>
    <row r="112" spans="2:65" s="26" customFormat="1" ht="16.5" customHeight="1" x14ac:dyDescent="0.25">
      <c r="B112" s="169"/>
      <c r="C112" s="170">
        <v>18</v>
      </c>
      <c r="D112" s="170" t="s">
        <v>129</v>
      </c>
      <c r="E112" s="171" t="s">
        <v>164</v>
      </c>
      <c r="F112" s="172" t="s">
        <v>165</v>
      </c>
      <c r="G112" s="173" t="s">
        <v>146</v>
      </c>
      <c r="H112" s="174">
        <f>H110*9</f>
        <v>121.33799999999999</v>
      </c>
      <c r="I112" s="174"/>
      <c r="J112" s="174">
        <f>ROUND(I112*H112,3)</f>
        <v>0</v>
      </c>
      <c r="K112" s="172" t="s">
        <v>9</v>
      </c>
      <c r="L112" s="132"/>
      <c r="M112" s="175" t="s">
        <v>9</v>
      </c>
      <c r="N112" s="176"/>
      <c r="O112" s="177">
        <v>0.61799999999999999</v>
      </c>
      <c r="P112" s="177">
        <f>O112*H112</f>
        <v>74.986883999999989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186</v>
      </c>
    </row>
    <row r="113" spans="2:65" s="26" customFormat="1" x14ac:dyDescent="0.25">
      <c r="B113" s="132"/>
      <c r="D113" s="179" t="s">
        <v>161</v>
      </c>
      <c r="E113" s="128" t="s">
        <v>9</v>
      </c>
      <c r="F113" s="143" t="s">
        <v>187</v>
      </c>
      <c r="H113" s="166"/>
      <c r="L113" s="132"/>
      <c r="M113" s="180"/>
      <c r="T113" s="181"/>
      <c r="AT113" s="128" t="s">
        <v>161</v>
      </c>
      <c r="AU113" s="128" t="s">
        <v>88</v>
      </c>
      <c r="AV113" s="26" t="s">
        <v>88</v>
      </c>
      <c r="AW113" s="26" t="s">
        <v>163</v>
      </c>
      <c r="AX113" s="26" t="s">
        <v>42</v>
      </c>
      <c r="AY113" s="128" t="s">
        <v>126</v>
      </c>
    </row>
    <row r="114" spans="2:65" s="26" customFormat="1" ht="16.5" customHeight="1" x14ac:dyDescent="0.25">
      <c r="B114" s="169"/>
      <c r="C114" s="170">
        <v>19</v>
      </c>
      <c r="D114" s="170" t="s">
        <v>129</v>
      </c>
      <c r="E114" s="171" t="s">
        <v>167</v>
      </c>
      <c r="F114" s="172" t="s">
        <v>168</v>
      </c>
      <c r="G114" s="173" t="s">
        <v>146</v>
      </c>
      <c r="H114" s="174">
        <v>13.481999999999999</v>
      </c>
      <c r="I114" s="174"/>
      <c r="J114" s="174">
        <f>ROUND(I114*H114,3)</f>
        <v>0</v>
      </c>
      <c r="K114" s="172" t="s">
        <v>156</v>
      </c>
      <c r="L114" s="132"/>
      <c r="M114" s="175" t="s">
        <v>9</v>
      </c>
      <c r="N114" s="176"/>
      <c r="O114" s="177">
        <v>0.59799999999999998</v>
      </c>
      <c r="P114" s="177">
        <f>O114*H114</f>
        <v>8.0622359999999986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28" t="s">
        <v>132</v>
      </c>
      <c r="AT114" s="128" t="s">
        <v>129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132</v>
      </c>
      <c r="BM114" s="128" t="s">
        <v>188</v>
      </c>
    </row>
    <row r="115" spans="2:65" s="26" customFormat="1" x14ac:dyDescent="0.25">
      <c r="B115" s="132"/>
      <c r="D115" s="179" t="s">
        <v>161</v>
      </c>
      <c r="E115" s="128" t="s">
        <v>9</v>
      </c>
      <c r="F115" s="143" t="s">
        <v>90</v>
      </c>
      <c r="H115" s="166">
        <v>13.481999999999999</v>
      </c>
      <c r="L115" s="132"/>
      <c r="M115" s="180"/>
      <c r="T115" s="181"/>
      <c r="AT115" s="128" t="s">
        <v>161</v>
      </c>
      <c r="AU115" s="128" t="s">
        <v>88</v>
      </c>
      <c r="AV115" s="26" t="s">
        <v>88</v>
      </c>
      <c r="AW115" s="26" t="s">
        <v>163</v>
      </c>
      <c r="AX115" s="26" t="s">
        <v>42</v>
      </c>
      <c r="AY115" s="128" t="s">
        <v>126</v>
      </c>
    </row>
    <row r="116" spans="2:65" s="26" customFormat="1" ht="16.5" customHeight="1" x14ac:dyDescent="0.25">
      <c r="B116" s="169"/>
      <c r="C116" s="170">
        <v>20</v>
      </c>
      <c r="D116" s="170" t="s">
        <v>129</v>
      </c>
      <c r="E116" s="171" t="s">
        <v>170</v>
      </c>
      <c r="F116" s="172" t="s">
        <v>171</v>
      </c>
      <c r="G116" s="173" t="s">
        <v>146</v>
      </c>
      <c r="H116" s="174">
        <f>H111*14</f>
        <v>188.74799999999999</v>
      </c>
      <c r="I116" s="174"/>
      <c r="J116" s="174">
        <f>ROUND(I116*H116,3)</f>
        <v>0</v>
      </c>
      <c r="K116" s="172" t="s">
        <v>156</v>
      </c>
      <c r="L116" s="132"/>
      <c r="M116" s="175" t="s">
        <v>9</v>
      </c>
      <c r="N116" s="176"/>
      <c r="O116" s="177">
        <v>7.0000000000000001E-3</v>
      </c>
      <c r="P116" s="177">
        <f>O116*H116</f>
        <v>1.3212359999999999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28" t="s">
        <v>132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132</v>
      </c>
      <c r="BM116" s="128" t="s">
        <v>189</v>
      </c>
    </row>
    <row r="117" spans="2:65" s="26" customFormat="1" x14ac:dyDescent="0.25">
      <c r="B117" s="132"/>
      <c r="D117" s="179" t="s">
        <v>161</v>
      </c>
      <c r="E117" s="128" t="s">
        <v>9</v>
      </c>
      <c r="F117" s="143" t="s">
        <v>190</v>
      </c>
      <c r="H117" s="166">
        <v>188.74799999999999</v>
      </c>
      <c r="L117" s="132"/>
      <c r="M117" s="180"/>
      <c r="T117" s="181"/>
      <c r="AT117" s="128" t="s">
        <v>161</v>
      </c>
      <c r="AU117" s="128" t="s">
        <v>88</v>
      </c>
      <c r="AV117" s="26" t="s">
        <v>88</v>
      </c>
      <c r="AW117" s="26" t="s">
        <v>163</v>
      </c>
      <c r="AX117" s="26" t="s">
        <v>42</v>
      </c>
      <c r="AY117" s="128" t="s">
        <v>126</v>
      </c>
    </row>
    <row r="118" spans="2:65" s="158" customFormat="1" ht="25.9" customHeight="1" x14ac:dyDescent="0.2">
      <c r="B118" s="157"/>
      <c r="D118" s="159" t="s">
        <v>123</v>
      </c>
      <c r="E118" s="160" t="s">
        <v>191</v>
      </c>
      <c r="F118" s="160" t="s">
        <v>192</v>
      </c>
      <c r="J118" s="161">
        <f>J119+J133+J139</f>
        <v>0</v>
      </c>
      <c r="L118" s="182"/>
      <c r="M118" s="162"/>
      <c r="P118" s="163">
        <f>P119+P133+P139</f>
        <v>772.26299799999993</v>
      </c>
      <c r="R118" s="163">
        <f>R119+R133+R139</f>
        <v>0.13570000000000002</v>
      </c>
      <c r="T118" s="164">
        <f>T119+T133+T139</f>
        <v>115.12812799999999</v>
      </c>
      <c r="AR118" s="159" t="s">
        <v>88</v>
      </c>
      <c r="AT118" s="165" t="s">
        <v>123</v>
      </c>
      <c r="AU118" s="165" t="s">
        <v>39</v>
      </c>
      <c r="AY118" s="159" t="s">
        <v>126</v>
      </c>
      <c r="BK118" s="166">
        <f>BK119+BK133+BK139</f>
        <v>0</v>
      </c>
    </row>
    <row r="119" spans="2:65" s="158" customFormat="1" ht="22.9" customHeight="1" x14ac:dyDescent="0.2">
      <c r="B119" s="157"/>
      <c r="D119" s="159" t="s">
        <v>123</v>
      </c>
      <c r="E119" s="167" t="s">
        <v>193</v>
      </c>
      <c r="F119" s="167" t="s">
        <v>194</v>
      </c>
      <c r="J119" s="168">
        <f>SUM(J120:J132)</f>
        <v>0</v>
      </c>
      <c r="L119" s="157"/>
      <c r="M119" s="162"/>
      <c r="P119" s="163">
        <f>SUM(P120:P132)</f>
        <v>573.22157799999991</v>
      </c>
      <c r="R119" s="163">
        <f>SUM(R120:R132)</f>
        <v>1.2800000000000001E-2</v>
      </c>
      <c r="T119" s="164">
        <f>SUM(T120:T132)</f>
        <v>104.86348799999999</v>
      </c>
      <c r="AR119" s="159" t="s">
        <v>88</v>
      </c>
      <c r="AT119" s="165" t="s">
        <v>123</v>
      </c>
      <c r="AU119" s="165" t="s">
        <v>42</v>
      </c>
      <c r="AY119" s="159" t="s">
        <v>126</v>
      </c>
      <c r="BK119" s="166">
        <f>SUM(BK120:BK132)</f>
        <v>0</v>
      </c>
    </row>
    <row r="120" spans="2:65" s="26" customFormat="1" ht="16.5" customHeight="1" x14ac:dyDescent="0.25">
      <c r="B120" s="169"/>
      <c r="C120" s="170">
        <v>21</v>
      </c>
      <c r="D120" s="170" t="s">
        <v>129</v>
      </c>
      <c r="E120" s="171" t="s">
        <v>195</v>
      </c>
      <c r="F120" s="172" t="s">
        <v>196</v>
      </c>
      <c r="G120" s="173" t="s">
        <v>136</v>
      </c>
      <c r="H120" s="174">
        <f>643*2</f>
        <v>1286</v>
      </c>
      <c r="I120" s="174"/>
      <c r="J120" s="174">
        <f>ROUND(I120*H120,3)</f>
        <v>0</v>
      </c>
      <c r="K120" s="172" t="s">
        <v>156</v>
      </c>
      <c r="L120" s="132"/>
      <c r="M120" s="175" t="s">
        <v>9</v>
      </c>
      <c r="N120" s="176"/>
      <c r="O120" s="177">
        <v>0.05</v>
      </c>
      <c r="P120" s="177">
        <f>O120*H120</f>
        <v>64.3</v>
      </c>
      <c r="Q120" s="177">
        <v>0</v>
      </c>
      <c r="R120" s="177">
        <f>Q120*H120</f>
        <v>0</v>
      </c>
      <c r="S120" s="177">
        <v>6.0000000000000001E-3</v>
      </c>
      <c r="T120" s="178">
        <f>S120*H120</f>
        <v>7.7160000000000002</v>
      </c>
      <c r="AR120" s="128" t="s">
        <v>197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198</v>
      </c>
    </row>
    <row r="121" spans="2:65" s="26" customFormat="1" ht="16.5" customHeight="1" x14ac:dyDescent="0.25">
      <c r="B121" s="169"/>
      <c r="C121" s="170">
        <v>22</v>
      </c>
      <c r="D121" s="170" t="s">
        <v>129</v>
      </c>
      <c r="E121" s="171" t="s">
        <v>199</v>
      </c>
      <c r="F121" s="172" t="s">
        <v>200</v>
      </c>
      <c r="G121" s="173" t="s">
        <v>136</v>
      </c>
      <c r="H121" s="174">
        <v>1457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/>
      <c r="O121" s="177">
        <v>2.7E-2</v>
      </c>
      <c r="P121" s="177">
        <f>O121*H121</f>
        <v>39.338999999999999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201</v>
      </c>
    </row>
    <row r="122" spans="2:65" s="26" customFormat="1" x14ac:dyDescent="0.25">
      <c r="B122" s="132"/>
      <c r="D122" s="179" t="s">
        <v>161</v>
      </c>
      <c r="E122" s="128" t="s">
        <v>9</v>
      </c>
      <c r="F122" s="143" t="s">
        <v>202</v>
      </c>
      <c r="H122" s="166">
        <v>1457</v>
      </c>
      <c r="L122" s="132"/>
      <c r="M122" s="180"/>
      <c r="T122" s="181"/>
      <c r="AT122" s="128" t="s">
        <v>161</v>
      </c>
      <c r="AU122" s="128" t="s">
        <v>88</v>
      </c>
      <c r="AV122" s="26" t="s">
        <v>88</v>
      </c>
      <c r="AW122" s="26" t="s">
        <v>163</v>
      </c>
      <c r="AX122" s="26" t="s">
        <v>42</v>
      </c>
      <c r="AY122" s="128" t="s">
        <v>126</v>
      </c>
    </row>
    <row r="123" spans="2:65" s="26" customFormat="1" ht="16.5" customHeight="1" x14ac:dyDescent="0.25">
      <c r="B123" s="169"/>
      <c r="C123" s="170">
        <v>23</v>
      </c>
      <c r="D123" s="170" t="s">
        <v>129</v>
      </c>
      <c r="E123" s="171" t="s">
        <v>203</v>
      </c>
      <c r="F123" s="172" t="s">
        <v>204</v>
      </c>
      <c r="G123" s="173" t="s">
        <v>205</v>
      </c>
      <c r="H123" s="174">
        <v>8</v>
      </c>
      <c r="I123" s="174"/>
      <c r="J123" s="174">
        <f>ROUND(I123*H123,3)</f>
        <v>0</v>
      </c>
      <c r="K123" s="172" t="s">
        <v>9</v>
      </c>
      <c r="L123" s="132"/>
      <c r="M123" s="175" t="s">
        <v>9</v>
      </c>
      <c r="N123" s="176"/>
      <c r="O123" s="177">
        <v>0.50117999999999996</v>
      </c>
      <c r="P123" s="177">
        <f>O123*H123</f>
        <v>4.0094399999999997</v>
      </c>
      <c r="Q123" s="177">
        <v>1.6000000000000001E-3</v>
      </c>
      <c r="R123" s="177">
        <f>Q123*H123</f>
        <v>1.2800000000000001E-2</v>
      </c>
      <c r="S123" s="177">
        <v>0</v>
      </c>
      <c r="T123" s="178">
        <f>S123*H123</f>
        <v>0</v>
      </c>
      <c r="AR123" s="128" t="s">
        <v>197</v>
      </c>
      <c r="AT123" s="128" t="s">
        <v>129</v>
      </c>
      <c r="AU123" s="128" t="s">
        <v>88</v>
      </c>
      <c r="AY123" s="128" t="s">
        <v>126</v>
      </c>
      <c r="BE123" s="138">
        <f>IF(N123="základná",J123,0)</f>
        <v>0</v>
      </c>
      <c r="BF123" s="138">
        <f>IF(N123="znížená",J123,0)</f>
        <v>0</v>
      </c>
      <c r="BG123" s="138">
        <f>IF(N123="zákl. prenesená",J123,0)</f>
        <v>0</v>
      </c>
      <c r="BH123" s="138">
        <f>IF(N123="zníž. prenesená",J123,0)</f>
        <v>0</v>
      </c>
      <c r="BI123" s="138">
        <f>IF(N123="nulová",J123,0)</f>
        <v>0</v>
      </c>
      <c r="BJ123" s="128" t="s">
        <v>88</v>
      </c>
      <c r="BK123" s="166">
        <f>ROUND(I123*H123,3)</f>
        <v>0</v>
      </c>
      <c r="BL123" s="128" t="s">
        <v>197</v>
      </c>
      <c r="BM123" s="128" t="s">
        <v>206</v>
      </c>
    </row>
    <row r="124" spans="2:65" s="26" customFormat="1" ht="16.5" customHeight="1" x14ac:dyDescent="0.25">
      <c r="B124" s="169"/>
      <c r="C124" s="170">
        <v>24</v>
      </c>
      <c r="D124" s="170" t="s">
        <v>129</v>
      </c>
      <c r="E124" s="171" t="s">
        <v>207</v>
      </c>
      <c r="F124" s="172" t="s">
        <v>208</v>
      </c>
      <c r="G124" s="173" t="s">
        <v>136</v>
      </c>
      <c r="H124" s="174">
        <f>69*2</f>
        <v>138</v>
      </c>
      <c r="I124" s="174"/>
      <c r="J124" s="174">
        <f>ROUND(I124*H124,3)</f>
        <v>0</v>
      </c>
      <c r="K124" s="172" t="s">
        <v>9</v>
      </c>
      <c r="L124" s="132"/>
      <c r="M124" s="175" t="s">
        <v>9</v>
      </c>
      <c r="N124" s="176"/>
      <c r="O124" s="177">
        <v>0.05</v>
      </c>
      <c r="P124" s="177">
        <f>O124*H124</f>
        <v>6.9</v>
      </c>
      <c r="Q124" s="177">
        <v>0</v>
      </c>
      <c r="R124" s="177">
        <f>Q124*H124</f>
        <v>0</v>
      </c>
      <c r="S124" s="177">
        <v>6.0000000000000001E-3</v>
      </c>
      <c r="T124" s="178">
        <f>S124*H124</f>
        <v>0.82800000000000007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209</v>
      </c>
    </row>
    <row r="125" spans="2:65" s="26" customFormat="1" ht="16.5" customHeight="1" x14ac:dyDescent="0.25">
      <c r="B125" s="169"/>
      <c r="C125" s="170">
        <v>25</v>
      </c>
      <c r="D125" s="170" t="s">
        <v>129</v>
      </c>
      <c r="E125" s="171" t="s">
        <v>210</v>
      </c>
      <c r="F125" s="172" t="s">
        <v>211</v>
      </c>
      <c r="G125" s="173" t="s">
        <v>136</v>
      </c>
      <c r="H125" s="174">
        <f>H126</f>
        <v>2868.99</v>
      </c>
      <c r="I125" s="174"/>
      <c r="J125" s="174">
        <f>ROUND(I125*H125,3)</f>
        <v>0</v>
      </c>
      <c r="K125" s="172" t="s">
        <v>9</v>
      </c>
      <c r="L125" s="126"/>
      <c r="M125" s="175" t="s">
        <v>9</v>
      </c>
      <c r="N125" s="176"/>
      <c r="O125" s="177">
        <v>7.0999999999999994E-2</v>
      </c>
      <c r="P125" s="177">
        <f>O125*H125</f>
        <v>203.69828999999996</v>
      </c>
      <c r="Q125" s="177">
        <v>0</v>
      </c>
      <c r="R125" s="177">
        <f>Q125*H125</f>
        <v>0</v>
      </c>
      <c r="S125" s="177">
        <v>1.6E-2</v>
      </c>
      <c r="T125" s="178">
        <f>S125*H125</f>
        <v>45.903839999999995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212</v>
      </c>
    </row>
    <row r="126" spans="2:65" s="26" customFormat="1" ht="10.15" customHeight="1" x14ac:dyDescent="0.25">
      <c r="B126" s="132"/>
      <c r="D126" s="179" t="s">
        <v>161</v>
      </c>
      <c r="E126" s="128" t="s">
        <v>9</v>
      </c>
      <c r="F126" s="143" t="s">
        <v>213</v>
      </c>
      <c r="H126" s="143">
        <f>2378.64+490.35</f>
        <v>2868.99</v>
      </c>
      <c r="L126" s="126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>
        <v>26</v>
      </c>
      <c r="D127" s="170" t="s">
        <v>129</v>
      </c>
      <c r="E127" s="171" t="s">
        <v>214</v>
      </c>
      <c r="F127" s="172" t="s">
        <v>215</v>
      </c>
      <c r="G127" s="173" t="s">
        <v>136</v>
      </c>
      <c r="H127" s="174">
        <f>H130</f>
        <v>7134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/>
      <c r="O127" s="177">
        <v>8.0000000000000002E-3</v>
      </c>
      <c r="P127" s="177">
        <f>O127*H127</f>
        <v>57.072000000000003</v>
      </c>
      <c r="Q127" s="177">
        <v>0</v>
      </c>
      <c r="R127" s="177">
        <f>Q127*H127</f>
        <v>0</v>
      </c>
      <c r="S127" s="177">
        <v>6.0000000000000001E-3</v>
      </c>
      <c r="T127" s="178">
        <f>S127*H127</f>
        <v>42.804000000000002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216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217</v>
      </c>
      <c r="H128" s="166">
        <f>2378*3</f>
        <v>7134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x14ac:dyDescent="0.25">
      <c r="B129" s="132"/>
      <c r="D129" s="179"/>
      <c r="E129" s="128"/>
      <c r="F129" s="143"/>
      <c r="H129" s="166"/>
      <c r="L129" s="132"/>
      <c r="M129" s="180"/>
      <c r="T129" s="181"/>
      <c r="AT129" s="128"/>
      <c r="AU129" s="128"/>
      <c r="AY129" s="128"/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218</v>
      </c>
      <c r="H130" s="166">
        <f>SUM(H128:H129)</f>
        <v>7134</v>
      </c>
      <c r="L130" s="132"/>
      <c r="M130" s="180"/>
      <c r="T130" s="181"/>
      <c r="AT130" s="128" t="s">
        <v>161</v>
      </c>
      <c r="AU130" s="128" t="s">
        <v>88</v>
      </c>
      <c r="AV130" s="26" t="s">
        <v>132</v>
      </c>
      <c r="AW130" s="26" t="s">
        <v>163</v>
      </c>
      <c r="AX130" s="26" t="s">
        <v>42</v>
      </c>
      <c r="AY130" s="128" t="s">
        <v>126</v>
      </c>
    </row>
    <row r="131" spans="2:65" s="26" customFormat="1" ht="16.5" customHeight="1" x14ac:dyDescent="0.25">
      <c r="B131" s="169"/>
      <c r="C131" s="170">
        <v>27</v>
      </c>
      <c r="D131" s="170" t="s">
        <v>129</v>
      </c>
      <c r="E131" s="171" t="s">
        <v>219</v>
      </c>
      <c r="F131" s="172" t="s">
        <v>220</v>
      </c>
      <c r="G131" s="173" t="s">
        <v>136</v>
      </c>
      <c r="H131" s="174">
        <f>H132*0.6</f>
        <v>1427.184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/>
      <c r="O131" s="177">
        <v>5.1999999999999998E-2</v>
      </c>
      <c r="P131" s="177">
        <f>O131*H131</f>
        <v>74.213567999999995</v>
      </c>
      <c r="Q131" s="177">
        <v>0</v>
      </c>
      <c r="R131" s="177">
        <f>Q131*H131</f>
        <v>0</v>
      </c>
      <c r="S131" s="177">
        <v>2E-3</v>
      </c>
      <c r="T131" s="178">
        <f>S131*H131</f>
        <v>2.854368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221</v>
      </c>
    </row>
    <row r="132" spans="2:65" s="26" customFormat="1" ht="16.5" customHeight="1" x14ac:dyDescent="0.25">
      <c r="B132" s="169"/>
      <c r="C132" s="170">
        <v>28</v>
      </c>
      <c r="D132" s="170" t="s">
        <v>129</v>
      </c>
      <c r="E132" s="171" t="s">
        <v>219</v>
      </c>
      <c r="F132" s="172" t="s">
        <v>222</v>
      </c>
      <c r="G132" s="173" t="s">
        <v>136</v>
      </c>
      <c r="H132" s="174">
        <f>2378.64</f>
        <v>2378.64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/>
      <c r="O132" s="177">
        <v>5.1999999999999998E-2</v>
      </c>
      <c r="P132" s="177">
        <f>O132*H132</f>
        <v>123.68927999999998</v>
      </c>
      <c r="Q132" s="177">
        <v>0</v>
      </c>
      <c r="R132" s="177">
        <f>Q132*H132</f>
        <v>0</v>
      </c>
      <c r="S132" s="177">
        <v>2E-3</v>
      </c>
      <c r="T132" s="178">
        <f>S132*H132</f>
        <v>4.7572799999999997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221</v>
      </c>
    </row>
    <row r="133" spans="2:65" s="158" customFormat="1" ht="22.9" customHeight="1" x14ac:dyDescent="0.2">
      <c r="B133" s="157"/>
      <c r="D133" s="159" t="s">
        <v>123</v>
      </c>
      <c r="E133" s="167" t="s">
        <v>223</v>
      </c>
      <c r="F133" s="167" t="s">
        <v>224</v>
      </c>
      <c r="J133" s="168">
        <f>SUM(J134:J138)</f>
        <v>0</v>
      </c>
      <c r="L133" s="157"/>
      <c r="M133" s="162"/>
      <c r="P133" s="163">
        <f>SUM(P134:P138)</f>
        <v>186.76142000000002</v>
      </c>
      <c r="R133" s="163">
        <f>SUM(R134:R138)</f>
        <v>0.1104</v>
      </c>
      <c r="T133" s="164">
        <f>SUM(T134:T138)</f>
        <v>10.01464</v>
      </c>
      <c r="AR133" s="159" t="s">
        <v>88</v>
      </c>
      <c r="AT133" s="165" t="s">
        <v>123</v>
      </c>
      <c r="AU133" s="165" t="s">
        <v>42</v>
      </c>
      <c r="AY133" s="159" t="s">
        <v>126</v>
      </c>
      <c r="BK133" s="166">
        <f>SUM(BK134:BK138)</f>
        <v>0</v>
      </c>
    </row>
    <row r="134" spans="2:65" s="26" customFormat="1" ht="16.5" customHeight="1" x14ac:dyDescent="0.25">
      <c r="B134" s="169"/>
      <c r="C134" s="170">
        <v>29</v>
      </c>
      <c r="D134" s="170" t="s">
        <v>129</v>
      </c>
      <c r="E134" s="171" t="s">
        <v>225</v>
      </c>
      <c r="F134" s="172" t="s">
        <v>226</v>
      </c>
      <c r="G134" s="173" t="s">
        <v>205</v>
      </c>
      <c r="H134" s="174">
        <v>46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/>
      <c r="O134" s="177">
        <v>0.50117999999999996</v>
      </c>
      <c r="P134" s="177">
        <f>O134*H134</f>
        <v>23.054279999999999</v>
      </c>
      <c r="Q134" s="177">
        <v>1.6000000000000001E-3</v>
      </c>
      <c r="R134" s="177">
        <f>Q134*H134</f>
        <v>7.3599999999999999E-2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227</v>
      </c>
    </row>
    <row r="135" spans="2:65" s="26" customFormat="1" ht="16.5" customHeight="1" x14ac:dyDescent="0.25">
      <c r="B135" s="169"/>
      <c r="C135" s="170">
        <v>30</v>
      </c>
      <c r="D135" s="170" t="s">
        <v>129</v>
      </c>
      <c r="E135" s="171" t="s">
        <v>228</v>
      </c>
      <c r="F135" s="172" t="s">
        <v>229</v>
      </c>
      <c r="G135" s="173" t="s">
        <v>230</v>
      </c>
      <c r="H135" s="174">
        <v>232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/>
      <c r="O135" s="177">
        <v>7.4999999999999997E-2</v>
      </c>
      <c r="P135" s="177">
        <f>O135*H135</f>
        <v>17.399999999999999</v>
      </c>
      <c r="Q135" s="177">
        <v>0</v>
      </c>
      <c r="R135" s="177">
        <f>Q135*H135</f>
        <v>0</v>
      </c>
      <c r="S135" s="177">
        <v>2.5200000000000001E-3</v>
      </c>
      <c r="T135" s="178">
        <f>S135*H135</f>
        <v>0.58464000000000005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231</v>
      </c>
    </row>
    <row r="136" spans="2:65" s="26" customFormat="1" ht="16.5" customHeight="1" x14ac:dyDescent="0.25">
      <c r="B136" s="169"/>
      <c r="C136" s="170">
        <v>31</v>
      </c>
      <c r="D136" s="170" t="s">
        <v>129</v>
      </c>
      <c r="E136" s="171" t="s">
        <v>232</v>
      </c>
      <c r="F136" s="172" t="s">
        <v>233</v>
      </c>
      <c r="G136" s="173" t="s">
        <v>234</v>
      </c>
      <c r="H136" s="174">
        <v>460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/>
      <c r="O136" s="177">
        <v>0.29299999999999998</v>
      </c>
      <c r="P136" s="177">
        <f>O136*H136</f>
        <v>134.78</v>
      </c>
      <c r="Q136" s="177">
        <v>0</v>
      </c>
      <c r="R136" s="177">
        <f>Q136*H136</f>
        <v>0</v>
      </c>
      <c r="S136" s="177">
        <v>2.0500000000000001E-2</v>
      </c>
      <c r="T136" s="178">
        <f>S136*H136</f>
        <v>9.43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235</v>
      </c>
    </row>
    <row r="137" spans="2:65" s="26" customFormat="1" ht="16.5" customHeight="1" x14ac:dyDescent="0.25">
      <c r="B137" s="169"/>
      <c r="C137" s="170" t="s">
        <v>236</v>
      </c>
      <c r="D137" s="170" t="s">
        <v>129</v>
      </c>
      <c r="E137" s="171" t="s">
        <v>237</v>
      </c>
      <c r="F137" s="172" t="s">
        <v>238</v>
      </c>
      <c r="G137" s="173" t="s">
        <v>230</v>
      </c>
      <c r="H137" s="174">
        <v>217</v>
      </c>
      <c r="I137" s="174"/>
      <c r="J137" s="174">
        <f>ROUND(I137*H137,3)</f>
        <v>0</v>
      </c>
      <c r="K137" s="172"/>
      <c r="L137" s="132"/>
      <c r="M137" s="175"/>
      <c r="N137" s="176"/>
      <c r="O137" s="177"/>
      <c r="P137" s="177"/>
      <c r="Q137" s="177"/>
      <c r="R137" s="177"/>
      <c r="S137" s="177"/>
      <c r="T137" s="178"/>
      <c r="AR137" s="128"/>
      <c r="AT137" s="128"/>
      <c r="AU137" s="128"/>
      <c r="AY137" s="128"/>
      <c r="BE137" s="138"/>
      <c r="BF137" s="138"/>
      <c r="BG137" s="138"/>
      <c r="BH137" s="138"/>
      <c r="BI137" s="138"/>
      <c r="BJ137" s="128"/>
      <c r="BK137" s="166">
        <f>ROUND(I137*H137,3)</f>
        <v>0</v>
      </c>
      <c r="BL137" s="128"/>
      <c r="BM137" s="128"/>
    </row>
    <row r="138" spans="2:65" s="26" customFormat="1" ht="16.5" customHeight="1" x14ac:dyDescent="0.25">
      <c r="B138" s="169"/>
      <c r="C138" s="170">
        <v>32</v>
      </c>
      <c r="D138" s="170" t="s">
        <v>129</v>
      </c>
      <c r="E138" s="171" t="s">
        <v>239</v>
      </c>
      <c r="F138" s="172" t="s">
        <v>240</v>
      </c>
      <c r="G138" s="173" t="s">
        <v>205</v>
      </c>
      <c r="H138" s="174">
        <v>23</v>
      </c>
      <c r="I138" s="174"/>
      <c r="J138" s="174">
        <f>ROUND(I138*H138,3)</f>
        <v>0</v>
      </c>
      <c r="K138" s="172" t="s">
        <v>9</v>
      </c>
      <c r="L138" s="132"/>
      <c r="M138" s="175" t="s">
        <v>9</v>
      </c>
      <c r="N138" s="176"/>
      <c r="O138" s="177">
        <v>0.50117999999999996</v>
      </c>
      <c r="P138" s="177">
        <f>O138*H138</f>
        <v>11.527139999999999</v>
      </c>
      <c r="Q138" s="177">
        <v>1.6000000000000001E-3</v>
      </c>
      <c r="R138" s="177">
        <f>Q138*H138</f>
        <v>3.6799999999999999E-2</v>
      </c>
      <c r="S138" s="177">
        <v>0</v>
      </c>
      <c r="T138" s="178">
        <f>S138*H138</f>
        <v>0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241</v>
      </c>
    </row>
    <row r="139" spans="2:65" s="158" customFormat="1" ht="22.9" customHeight="1" x14ac:dyDescent="0.2">
      <c r="B139" s="157"/>
      <c r="D139" s="159" t="s">
        <v>123</v>
      </c>
      <c r="E139" s="167" t="s">
        <v>242</v>
      </c>
      <c r="F139" s="167" t="s">
        <v>243</v>
      </c>
      <c r="J139" s="168">
        <f>BK139</f>
        <v>0</v>
      </c>
      <c r="L139" s="157"/>
      <c r="M139" s="162"/>
      <c r="P139" s="163">
        <f>P140</f>
        <v>12.28</v>
      </c>
      <c r="R139" s="163">
        <f>R140</f>
        <v>1.2500000000000001E-2</v>
      </c>
      <c r="T139" s="164">
        <f>T140</f>
        <v>0.25</v>
      </c>
      <c r="AR139" s="159" t="s">
        <v>88</v>
      </c>
      <c r="AT139" s="165" t="s">
        <v>123</v>
      </c>
      <c r="AU139" s="165" t="s">
        <v>42</v>
      </c>
      <c r="AY139" s="159" t="s">
        <v>126</v>
      </c>
      <c r="BK139" s="166">
        <f>BK140</f>
        <v>0</v>
      </c>
    </row>
    <row r="140" spans="2:65" s="26" customFormat="1" ht="16.5" customHeight="1" x14ac:dyDescent="0.25">
      <c r="B140" s="169"/>
      <c r="C140" s="170">
        <v>33</v>
      </c>
      <c r="D140" s="170" t="s">
        <v>129</v>
      </c>
      <c r="E140" s="171" t="s">
        <v>244</v>
      </c>
      <c r="F140" s="172" t="s">
        <v>245</v>
      </c>
      <c r="G140" s="173" t="s">
        <v>86</v>
      </c>
      <c r="H140" s="174">
        <v>250</v>
      </c>
      <c r="I140" s="174"/>
      <c r="J140" s="174">
        <f>ROUND(I140*H140,3)</f>
        <v>0</v>
      </c>
      <c r="K140" s="172" t="s">
        <v>156</v>
      </c>
      <c r="L140" s="132"/>
      <c r="M140" s="183" t="s">
        <v>9</v>
      </c>
      <c r="N140" s="184"/>
      <c r="O140" s="185">
        <v>4.9119999999999997E-2</v>
      </c>
      <c r="P140" s="185">
        <f>O140*H140</f>
        <v>12.28</v>
      </c>
      <c r="Q140" s="185">
        <v>5.0000000000000002E-5</v>
      </c>
      <c r="R140" s="185">
        <f>Q140*H140</f>
        <v>1.2500000000000001E-2</v>
      </c>
      <c r="S140" s="185">
        <v>1E-3</v>
      </c>
      <c r="T140" s="186">
        <f>S140*H140</f>
        <v>0.25</v>
      </c>
      <c r="AR140" s="128" t="s">
        <v>197</v>
      </c>
      <c r="AT140" s="128" t="s">
        <v>129</v>
      </c>
      <c r="AU140" s="128" t="s">
        <v>88</v>
      </c>
      <c r="AY140" s="128" t="s">
        <v>126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28" t="s">
        <v>88</v>
      </c>
      <c r="BK140" s="166">
        <f>ROUND(I140*H140,3)</f>
        <v>0</v>
      </c>
      <c r="BL140" s="128" t="s">
        <v>197</v>
      </c>
      <c r="BM140" s="128" t="s">
        <v>246</v>
      </c>
    </row>
    <row r="141" spans="2:65" s="26" customFormat="1" ht="6.95" customHeight="1" x14ac:dyDescent="0.25">
      <c r="B141" s="141"/>
      <c r="C141" s="36"/>
      <c r="D141" s="36"/>
      <c r="E141" s="36"/>
      <c r="F141" s="36"/>
      <c r="G141" s="36"/>
      <c r="H141" s="36"/>
      <c r="I141" s="36"/>
      <c r="J141" s="36"/>
      <c r="K141" s="36"/>
      <c r="L141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4"/>
  <sheetViews>
    <sheetView topLeftCell="A81" workbookViewId="0">
      <selection activeCell="I91" sqref="I91:I289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79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78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ROUND(J88,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ROUND((SUM(BE88:BE126)),  2)</f>
        <v>0</v>
      </c>
      <c r="I33" s="139">
        <v>0.2</v>
      </c>
      <c r="J33" s="138">
        <f>ROUND(((SUM(BE88:BE126))*I33),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ROUND((SUM(BF88:BF126)),  2)</f>
        <v>0</v>
      </c>
      <c r="I34" s="139">
        <v>0.2</v>
      </c>
      <c r="J34" s="138">
        <f>ROUND(((SUM(BF88:BF126))*I34),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ROUND((SUM(BG88:BG126)),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ROUND((SUM(BH88:BH126)),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ROUND((SUM(BI88:BI126)),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K 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J88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J89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J90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J94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J96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J97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J112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J117</f>
        <v>0</v>
      </c>
      <c r="L66" s="83"/>
    </row>
    <row r="67" spans="2:12" s="147" customFormat="1" ht="15" x14ac:dyDescent="0.25">
      <c r="B67" s="78"/>
      <c r="D67" s="80" t="s">
        <v>252</v>
      </c>
      <c r="E67" s="81"/>
      <c r="F67" s="81"/>
      <c r="G67" s="81"/>
      <c r="H67" s="81"/>
      <c r="I67" s="81"/>
      <c r="J67" s="82">
        <f>J124</f>
        <v>0</v>
      </c>
      <c r="L67" s="78"/>
    </row>
    <row r="68" spans="2:12" s="148" customFormat="1" ht="12.75" x14ac:dyDescent="0.25">
      <c r="B68" s="83"/>
      <c r="D68" s="85" t="s">
        <v>253</v>
      </c>
      <c r="E68" s="86"/>
      <c r="F68" s="86"/>
      <c r="G68" s="86"/>
      <c r="H68" s="86"/>
      <c r="I68" s="86"/>
      <c r="J68" s="87">
        <f>J125</f>
        <v>0</v>
      </c>
      <c r="L68" s="83"/>
    </row>
    <row r="69" spans="2:12" s="26" customFormat="1" x14ac:dyDescent="0.25">
      <c r="B69" s="132"/>
      <c r="L69" s="132"/>
    </row>
    <row r="70" spans="2:12" s="26" customFormat="1" x14ac:dyDescent="0.25">
      <c r="B70" s="141"/>
      <c r="C70" s="36"/>
      <c r="D70" s="36"/>
      <c r="E70" s="36"/>
      <c r="F70" s="36"/>
      <c r="G70" s="36"/>
      <c r="H70" s="36"/>
      <c r="I70" s="36"/>
      <c r="J70" s="36"/>
      <c r="K70" s="36"/>
      <c r="L70" s="132"/>
    </row>
    <row r="74" spans="2:12" s="26" customFormat="1" x14ac:dyDescent="0.25">
      <c r="B74" s="142"/>
      <c r="C74" s="37"/>
      <c r="D74" s="37"/>
      <c r="E74" s="37"/>
      <c r="F74" s="37"/>
      <c r="G74" s="37"/>
      <c r="H74" s="37"/>
      <c r="I74" s="37"/>
      <c r="J74" s="37"/>
      <c r="K74" s="37"/>
      <c r="L74" s="132"/>
    </row>
    <row r="75" spans="2:12" s="26" customFormat="1" ht="18" x14ac:dyDescent="0.25">
      <c r="B75" s="132"/>
      <c r="C75" s="131" t="s">
        <v>109</v>
      </c>
      <c r="L75" s="132"/>
    </row>
    <row r="76" spans="2:12" s="26" customFormat="1" x14ac:dyDescent="0.25">
      <c r="B76" s="132"/>
      <c r="L76" s="132"/>
    </row>
    <row r="77" spans="2:12" s="26" customFormat="1" x14ac:dyDescent="0.25">
      <c r="B77" s="132"/>
      <c r="C77" s="128" t="s">
        <v>7</v>
      </c>
      <c r="L77" s="132"/>
    </row>
    <row r="78" spans="2:12" s="26" customFormat="1" x14ac:dyDescent="0.25">
      <c r="B78" s="132"/>
      <c r="E78" s="278" t="str">
        <f>E7</f>
        <v>Nemocnica Sv. Cyrila a Metoda v Bratislave</v>
      </c>
      <c r="F78" s="279"/>
      <c r="G78" s="279"/>
      <c r="H78" s="279"/>
      <c r="L78" s="132"/>
    </row>
    <row r="79" spans="2:12" s="26" customFormat="1" x14ac:dyDescent="0.25">
      <c r="B79" s="132"/>
      <c r="C79" s="128" t="s">
        <v>96</v>
      </c>
      <c r="L79" s="132"/>
    </row>
    <row r="80" spans="2:12" s="26" customFormat="1" ht="15" customHeight="1" x14ac:dyDescent="0.25">
      <c r="B80" s="132"/>
      <c r="E80" s="276" t="s">
        <v>654</v>
      </c>
      <c r="F80" s="277"/>
      <c r="G80" s="277"/>
      <c r="H80" s="277"/>
      <c r="L80" s="132"/>
    </row>
    <row r="81" spans="2:65" s="26" customFormat="1" ht="6.95" customHeight="1" x14ac:dyDescent="0.25">
      <c r="B81" s="132"/>
      <c r="L81" s="132"/>
    </row>
    <row r="82" spans="2:65" s="26" customFormat="1" ht="12" customHeight="1" x14ac:dyDescent="0.25">
      <c r="B82" s="132"/>
      <c r="C82" s="128" t="s">
        <v>11</v>
      </c>
      <c r="F82" s="128" t="str">
        <f>F12</f>
        <v xml:space="preserve"> </v>
      </c>
      <c r="I82" s="128" t="s">
        <v>13</v>
      </c>
      <c r="J82" s="41" t="e">
        <f>IF(J12="","",J12)</f>
        <v>#REF!</v>
      </c>
      <c r="L82" s="132"/>
    </row>
    <row r="83" spans="2:65" s="26" customFormat="1" ht="6.95" customHeight="1" x14ac:dyDescent="0.25">
      <c r="B83" s="132"/>
      <c r="L83" s="132"/>
    </row>
    <row r="84" spans="2:65" s="26" customFormat="1" ht="13.7" customHeight="1" x14ac:dyDescent="0.25">
      <c r="B84" s="132"/>
      <c r="C84" s="128" t="s">
        <v>14</v>
      </c>
      <c r="F84" s="128" t="str">
        <f>E15</f>
        <v xml:space="preserve"> </v>
      </c>
      <c r="I84" s="128" t="s">
        <v>18</v>
      </c>
      <c r="J84" s="143" t="str">
        <f>E21</f>
        <v xml:space="preserve"> </v>
      </c>
      <c r="L84" s="132"/>
    </row>
    <row r="85" spans="2:65" s="26" customFormat="1" ht="13.7" customHeight="1" x14ac:dyDescent="0.25">
      <c r="B85" s="132"/>
      <c r="C85" s="128" t="s">
        <v>17</v>
      </c>
      <c r="F85" s="128" t="str">
        <f>IF(E18="","",E18)</f>
        <v xml:space="preserve"> </v>
      </c>
      <c r="I85" s="128" t="s">
        <v>19</v>
      </c>
      <c r="J85" s="143" t="str">
        <f>E24</f>
        <v xml:space="preserve"> </v>
      </c>
      <c r="L85" s="132"/>
    </row>
    <row r="86" spans="2:65" s="26" customFormat="1" ht="10.35" customHeight="1" x14ac:dyDescent="0.25">
      <c r="B86" s="132"/>
      <c r="L86" s="132"/>
    </row>
    <row r="87" spans="2:65" s="151" customFormat="1" ht="29.25" customHeight="1" x14ac:dyDescent="0.25">
      <c r="B87" s="149"/>
      <c r="C87" s="89" t="s">
        <v>111</v>
      </c>
      <c r="D87" s="90" t="s">
        <v>112</v>
      </c>
      <c r="E87" s="90" t="s">
        <v>35</v>
      </c>
      <c r="F87" s="90" t="s">
        <v>36</v>
      </c>
      <c r="G87" s="90" t="s">
        <v>113</v>
      </c>
      <c r="H87" s="90" t="s">
        <v>114</v>
      </c>
      <c r="I87" s="90" t="s">
        <v>115</v>
      </c>
      <c r="J87" s="91" t="s">
        <v>99</v>
      </c>
      <c r="K87" s="150" t="s">
        <v>116</v>
      </c>
      <c r="L87" s="149"/>
      <c r="M87" s="89" t="s">
        <v>9</v>
      </c>
      <c r="N87" s="90" t="s">
        <v>25</v>
      </c>
      <c r="O87" s="90" t="s">
        <v>117</v>
      </c>
      <c r="P87" s="90" t="s">
        <v>118</v>
      </c>
      <c r="Q87" s="90" t="s">
        <v>119</v>
      </c>
      <c r="R87" s="90" t="s">
        <v>120</v>
      </c>
      <c r="S87" s="90" t="s">
        <v>121</v>
      </c>
      <c r="T87" s="91" t="s">
        <v>122</v>
      </c>
    </row>
    <row r="88" spans="2:65" s="26" customFormat="1" ht="22.9" customHeight="1" x14ac:dyDescent="0.25">
      <c r="B88" s="132"/>
      <c r="C88" s="146" t="s">
        <v>100</v>
      </c>
      <c r="J88" s="152">
        <f>J89+J96+J124+J128</f>
        <v>0</v>
      </c>
      <c r="L88" s="132"/>
      <c r="M88" s="153"/>
      <c r="N88" s="134"/>
      <c r="O88" s="134"/>
      <c r="P88" s="154">
        <f>P89+P96+P124</f>
        <v>782.22095360000003</v>
      </c>
      <c r="Q88" s="134"/>
      <c r="R88" s="154">
        <f>R89+R96+R124</f>
        <v>15.604345751250001</v>
      </c>
      <c r="S88" s="134"/>
      <c r="T88" s="155">
        <f>T89+T96+T124</f>
        <v>0</v>
      </c>
      <c r="AT88" s="128" t="s">
        <v>123</v>
      </c>
      <c r="AU88" s="128" t="s">
        <v>101</v>
      </c>
      <c r="BK88" s="156">
        <f>BK89+BK96+BK124</f>
        <v>0</v>
      </c>
    </row>
    <row r="89" spans="2:65" s="158" customFormat="1" ht="25.9" customHeight="1" x14ac:dyDescent="0.2">
      <c r="B89" s="157"/>
      <c r="D89" s="159" t="s">
        <v>123</v>
      </c>
      <c r="E89" s="160" t="s">
        <v>124</v>
      </c>
      <c r="F89" s="160" t="s">
        <v>125</v>
      </c>
      <c r="J89" s="161">
        <f>BK89</f>
        <v>0</v>
      </c>
      <c r="L89" s="157"/>
      <c r="M89" s="162"/>
      <c r="P89" s="163">
        <f>P90+P94</f>
        <v>92.256937999999991</v>
      </c>
      <c r="R89" s="163">
        <f>R90+R94</f>
        <v>2.79589906</v>
      </c>
      <c r="T89" s="164">
        <f>T90+T94</f>
        <v>0</v>
      </c>
      <c r="AR89" s="159" t="s">
        <v>42</v>
      </c>
      <c r="AT89" s="165" t="s">
        <v>123</v>
      </c>
      <c r="AU89" s="165" t="s">
        <v>39</v>
      </c>
      <c r="AY89" s="159" t="s">
        <v>126</v>
      </c>
      <c r="BK89" s="166">
        <f>BK90+BK94</f>
        <v>0</v>
      </c>
    </row>
    <row r="90" spans="2:65" s="158" customFormat="1" ht="22.9" customHeight="1" x14ac:dyDescent="0.2">
      <c r="B90" s="157"/>
      <c r="D90" s="159" t="s">
        <v>123</v>
      </c>
      <c r="E90" s="167" t="s">
        <v>127</v>
      </c>
      <c r="F90" s="167" t="s">
        <v>128</v>
      </c>
      <c r="J90" s="168">
        <f>BK90</f>
        <v>0</v>
      </c>
      <c r="L90" s="157"/>
      <c r="M90" s="162"/>
      <c r="P90" s="163">
        <f>SUM(P91:P93)</f>
        <v>90.907817999999992</v>
      </c>
      <c r="R90" s="163">
        <f>SUM(R91:R93)</f>
        <v>2.79589906</v>
      </c>
      <c r="T90" s="164">
        <f>SUM(T91:T93)</f>
        <v>0</v>
      </c>
      <c r="AR90" s="159" t="s">
        <v>42</v>
      </c>
      <c r="AT90" s="165" t="s">
        <v>123</v>
      </c>
      <c r="AU90" s="165" t="s">
        <v>42</v>
      </c>
      <c r="AY90" s="159" t="s">
        <v>126</v>
      </c>
      <c r="BK90" s="166">
        <f>SUM(BK91:BK93)</f>
        <v>0</v>
      </c>
    </row>
    <row r="91" spans="2:65" s="26" customFormat="1" ht="16.5" customHeight="1" x14ac:dyDescent="0.25">
      <c r="B91" s="169"/>
      <c r="C91" s="170" t="s">
        <v>42</v>
      </c>
      <c r="D91" s="170" t="s">
        <v>129</v>
      </c>
      <c r="E91" s="171" t="s">
        <v>255</v>
      </c>
      <c r="F91" s="172" t="s">
        <v>256</v>
      </c>
      <c r="G91" s="173" t="s">
        <v>136</v>
      </c>
      <c r="H91" s="174">
        <v>7.6</v>
      </c>
      <c r="I91" s="174"/>
      <c r="J91" s="174">
        <f>ROUND(I91*H91,3)</f>
        <v>0</v>
      </c>
      <c r="K91" s="172" t="s">
        <v>156</v>
      </c>
      <c r="L91" s="132"/>
      <c r="M91" s="175" t="s">
        <v>9</v>
      </c>
      <c r="N91" s="176" t="s">
        <v>27</v>
      </c>
      <c r="O91" s="177">
        <v>0.318</v>
      </c>
      <c r="P91" s="177">
        <f>O91*H91</f>
        <v>2.4167999999999998</v>
      </c>
      <c r="Q91" s="177">
        <v>4.0899999999999999E-3</v>
      </c>
      <c r="R91" s="177">
        <f>Q91*H91</f>
        <v>3.1083999999999997E-2</v>
      </c>
      <c r="S91" s="177">
        <v>0</v>
      </c>
      <c r="T91" s="178">
        <f>S91*H91</f>
        <v>0</v>
      </c>
      <c r="AR91" s="128" t="s">
        <v>132</v>
      </c>
      <c r="AT91" s="128" t="s">
        <v>129</v>
      </c>
      <c r="AU91" s="128" t="s">
        <v>88</v>
      </c>
      <c r="AY91" s="128" t="s">
        <v>126</v>
      </c>
      <c r="BE91" s="138">
        <f>IF(N91="základná",J91,0)</f>
        <v>0</v>
      </c>
      <c r="BF91" s="138">
        <f>IF(N91="znížená",J91,0)</f>
        <v>0</v>
      </c>
      <c r="BG91" s="138">
        <f>IF(N91="zákl. prenesená",J91,0)</f>
        <v>0</v>
      </c>
      <c r="BH91" s="138">
        <f>IF(N91="zníž. prenesená",J91,0)</f>
        <v>0</v>
      </c>
      <c r="BI91" s="138">
        <f>IF(N91="nulová",J91,0)</f>
        <v>0</v>
      </c>
      <c r="BJ91" s="128" t="s">
        <v>88</v>
      </c>
      <c r="BK91" s="166">
        <f>ROUND(I91*H91,3)</f>
        <v>0</v>
      </c>
      <c r="BL91" s="128" t="s">
        <v>132</v>
      </c>
      <c r="BM91" s="128" t="s">
        <v>257</v>
      </c>
    </row>
    <row r="92" spans="2:65" s="26" customFormat="1" ht="16.5" customHeight="1" x14ac:dyDescent="0.25">
      <c r="B92" s="169"/>
      <c r="C92" s="170" t="s">
        <v>88</v>
      </c>
      <c r="D92" s="170" t="s">
        <v>129</v>
      </c>
      <c r="E92" s="171" t="s">
        <v>272</v>
      </c>
      <c r="F92" s="172" t="s">
        <v>423</v>
      </c>
      <c r="G92" s="173" t="s">
        <v>136</v>
      </c>
      <c r="H92" s="174">
        <f>H103*0.7</f>
        <v>423.40199999999999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0.20899999999999999</v>
      </c>
      <c r="P92" s="177">
        <f>O92*H92</f>
        <v>88.491017999999997</v>
      </c>
      <c r="Q92" s="177">
        <v>6.5300000000000002E-3</v>
      </c>
      <c r="R92" s="177">
        <f>Q92*H92</f>
        <v>2.7648150600000001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274</v>
      </c>
    </row>
    <row r="93" spans="2:65" s="26" customFormat="1" x14ac:dyDescent="0.25">
      <c r="B93" s="132"/>
      <c r="D93" s="179" t="s">
        <v>161</v>
      </c>
      <c r="E93" s="128" t="s">
        <v>9</v>
      </c>
      <c r="F93" s="143" t="s">
        <v>275</v>
      </c>
      <c r="H93" s="166"/>
      <c r="L93" s="132"/>
      <c r="M93" s="180"/>
      <c r="T93" s="181"/>
      <c r="AT93" s="128" t="s">
        <v>161</v>
      </c>
      <c r="AU93" s="128" t="s">
        <v>88</v>
      </c>
      <c r="AV93" s="26" t="s">
        <v>88</v>
      </c>
      <c r="AW93" s="26" t="s">
        <v>163</v>
      </c>
      <c r="AX93" s="26" t="s">
        <v>42</v>
      </c>
      <c r="AY93" s="128" t="s">
        <v>126</v>
      </c>
    </row>
    <row r="94" spans="2:65" s="158" customFormat="1" ht="22.9" customHeight="1" x14ac:dyDescent="0.2">
      <c r="B94" s="157"/>
      <c r="D94" s="159" t="s">
        <v>123</v>
      </c>
      <c r="E94" s="167" t="s">
        <v>276</v>
      </c>
      <c r="F94" s="167" t="s">
        <v>277</v>
      </c>
      <c r="J94" s="168">
        <f>BK94</f>
        <v>0</v>
      </c>
      <c r="L94" s="157"/>
      <c r="M94" s="162"/>
      <c r="P94" s="163">
        <f>P95</f>
        <v>1.3491200000000001</v>
      </c>
      <c r="R94" s="163">
        <f>R95</f>
        <v>0</v>
      </c>
      <c r="T94" s="164">
        <f>T95</f>
        <v>0</v>
      </c>
      <c r="AR94" s="159" t="s">
        <v>42</v>
      </c>
      <c r="AT94" s="165" t="s">
        <v>123</v>
      </c>
      <c r="AU94" s="165" t="s">
        <v>42</v>
      </c>
      <c r="AY94" s="159" t="s">
        <v>126</v>
      </c>
      <c r="BK94" s="166">
        <f>BK95</f>
        <v>0</v>
      </c>
    </row>
    <row r="95" spans="2:65" s="26" customFormat="1" ht="16.5" customHeight="1" x14ac:dyDescent="0.25">
      <c r="B95" s="169"/>
      <c r="C95" s="170" t="s">
        <v>140</v>
      </c>
      <c r="D95" s="170" t="s">
        <v>129</v>
      </c>
      <c r="E95" s="171" t="s">
        <v>278</v>
      </c>
      <c r="F95" s="172" t="s">
        <v>279</v>
      </c>
      <c r="G95" s="173" t="s">
        <v>146</v>
      </c>
      <c r="H95" s="174">
        <v>3.968</v>
      </c>
      <c r="I95" s="174"/>
      <c r="J95" s="174">
        <f>ROUND(I95*H95,3)</f>
        <v>0</v>
      </c>
      <c r="K95" s="172" t="s">
        <v>156</v>
      </c>
      <c r="L95" s="132"/>
      <c r="M95" s="175" t="s">
        <v>9</v>
      </c>
      <c r="N95" s="176" t="s">
        <v>27</v>
      </c>
      <c r="O95" s="177">
        <v>0.34</v>
      </c>
      <c r="P95" s="177">
        <f>O95*H95</f>
        <v>1.3491200000000001</v>
      </c>
      <c r="Q95" s="177">
        <v>0</v>
      </c>
      <c r="R95" s="177">
        <f>Q95*H95</f>
        <v>0</v>
      </c>
      <c r="S95" s="177">
        <v>0</v>
      </c>
      <c r="T95" s="178">
        <f>S95*H95</f>
        <v>0</v>
      </c>
      <c r="AR95" s="128" t="s">
        <v>132</v>
      </c>
      <c r="AT95" s="128" t="s">
        <v>129</v>
      </c>
      <c r="AU95" s="128" t="s">
        <v>88</v>
      </c>
      <c r="AY95" s="128" t="s">
        <v>126</v>
      </c>
      <c r="BE95" s="138">
        <f>IF(N95="základná",J95,0)</f>
        <v>0</v>
      </c>
      <c r="BF95" s="138">
        <f>IF(N95="znížená",J95,0)</f>
        <v>0</v>
      </c>
      <c r="BG95" s="138">
        <f>IF(N95="zákl. prenesená",J95,0)</f>
        <v>0</v>
      </c>
      <c r="BH95" s="138">
        <f>IF(N95="zníž. prenesená",J95,0)</f>
        <v>0</v>
      </c>
      <c r="BI95" s="138">
        <f>IF(N95="nulová",J95,0)</f>
        <v>0</v>
      </c>
      <c r="BJ95" s="128" t="s">
        <v>88</v>
      </c>
      <c r="BK95" s="166">
        <f>ROUND(I95*H95,3)</f>
        <v>0</v>
      </c>
      <c r="BL95" s="128" t="s">
        <v>132</v>
      </c>
      <c r="BM95" s="128" t="s">
        <v>280</v>
      </c>
    </row>
    <row r="96" spans="2:65" s="158" customFormat="1" ht="25.9" customHeight="1" x14ac:dyDescent="0.2">
      <c r="B96" s="157"/>
      <c r="D96" s="159" t="s">
        <v>123</v>
      </c>
      <c r="E96" s="160" t="s">
        <v>191</v>
      </c>
      <c r="F96" s="160" t="s">
        <v>192</v>
      </c>
      <c r="J96" s="161">
        <f>BK96</f>
        <v>0</v>
      </c>
      <c r="L96" s="157"/>
      <c r="M96" s="162"/>
      <c r="P96" s="163">
        <f>P97+P112+P117</f>
        <v>689.81401560000006</v>
      </c>
      <c r="R96" s="163">
        <f>R97+R112+R117</f>
        <v>12.808446691250001</v>
      </c>
      <c r="T96" s="164">
        <f>T97+T112+T117</f>
        <v>0</v>
      </c>
      <c r="AR96" s="159" t="s">
        <v>88</v>
      </c>
      <c r="AT96" s="165" t="s">
        <v>123</v>
      </c>
      <c r="AU96" s="165" t="s">
        <v>39</v>
      </c>
      <c r="AY96" s="159" t="s">
        <v>126</v>
      </c>
      <c r="BK96" s="166">
        <f>BK97+BK112+BK117</f>
        <v>0</v>
      </c>
    </row>
    <row r="97" spans="2:65" s="158" customFormat="1" ht="22.9" customHeight="1" x14ac:dyDescent="0.2">
      <c r="B97" s="157"/>
      <c r="D97" s="159" t="s">
        <v>123</v>
      </c>
      <c r="E97" s="167" t="s">
        <v>193</v>
      </c>
      <c r="F97" s="167" t="s">
        <v>194</v>
      </c>
      <c r="J97" s="168">
        <f>BK97</f>
        <v>0</v>
      </c>
      <c r="L97" s="157"/>
      <c r="M97" s="162"/>
      <c r="P97" s="163">
        <f>SUM(P98:P111)</f>
        <v>400.7412056</v>
      </c>
      <c r="R97" s="163">
        <f>SUM(R98:R111)</f>
        <v>10.4489544</v>
      </c>
      <c r="T97" s="164">
        <f>SUM(T98:T111)</f>
        <v>0</v>
      </c>
      <c r="AR97" s="159" t="s">
        <v>88</v>
      </c>
      <c r="AT97" s="165" t="s">
        <v>123</v>
      </c>
      <c r="AU97" s="165" t="s">
        <v>42</v>
      </c>
      <c r="AY97" s="159" t="s">
        <v>126</v>
      </c>
      <c r="BK97" s="166">
        <f>SUM(BK98:BK111)</f>
        <v>0</v>
      </c>
    </row>
    <row r="98" spans="2:65" s="26" customFormat="1" ht="16.5" customHeight="1" x14ac:dyDescent="0.25">
      <c r="B98" s="169"/>
      <c r="C98" s="170" t="s">
        <v>132</v>
      </c>
      <c r="D98" s="170" t="s">
        <v>129</v>
      </c>
      <c r="E98" s="171" t="s">
        <v>281</v>
      </c>
      <c r="F98" s="172" t="s">
        <v>282</v>
      </c>
      <c r="G98" s="173" t="s">
        <v>136</v>
      </c>
      <c r="H98" s="174">
        <f>H103+H104</f>
        <v>787.56000000000006</v>
      </c>
      <c r="I98" s="174"/>
      <c r="J98" s="174">
        <f>ROUND(I98*H98,3)</f>
        <v>0</v>
      </c>
      <c r="K98" s="172" t="s">
        <v>156</v>
      </c>
      <c r="L98" s="132"/>
      <c r="M98" s="175" t="s">
        <v>9</v>
      </c>
      <c r="N98" s="176" t="s">
        <v>27</v>
      </c>
      <c r="O98" s="177">
        <v>4.3029999999999999E-2</v>
      </c>
      <c r="P98" s="177">
        <f>O98*H98</f>
        <v>33.888706800000001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28" t="s">
        <v>197</v>
      </c>
      <c r="AT98" s="128" t="s">
        <v>129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197</v>
      </c>
      <c r="BM98" s="128" t="s">
        <v>283</v>
      </c>
    </row>
    <row r="99" spans="2:65" s="26" customFormat="1" ht="16.5" customHeight="1" x14ac:dyDescent="0.25">
      <c r="B99" s="169"/>
      <c r="C99" s="187" t="s">
        <v>422</v>
      </c>
      <c r="D99" s="187" t="s">
        <v>261</v>
      </c>
      <c r="E99" s="188" t="s">
        <v>284</v>
      </c>
      <c r="F99" s="189" t="s">
        <v>285</v>
      </c>
      <c r="G99" s="190" t="s">
        <v>146</v>
      </c>
      <c r="H99" s="191">
        <f>H100</f>
        <v>0.59067000000000003</v>
      </c>
      <c r="I99" s="191"/>
      <c r="J99" s="191">
        <f>ROUND(I99*H99,3)</f>
        <v>0</v>
      </c>
      <c r="K99" s="189" t="s">
        <v>156</v>
      </c>
      <c r="L99" s="199"/>
      <c r="M99" s="200" t="s">
        <v>9</v>
      </c>
      <c r="N99" s="201" t="s">
        <v>27</v>
      </c>
      <c r="O99" s="177">
        <v>0</v>
      </c>
      <c r="P99" s="177">
        <f>O99*H99</f>
        <v>0</v>
      </c>
      <c r="Q99" s="177">
        <v>1</v>
      </c>
      <c r="R99" s="177">
        <f>Q99*H99</f>
        <v>0.59067000000000003</v>
      </c>
      <c r="S99" s="177">
        <v>0</v>
      </c>
      <c r="T99" s="178">
        <f>S99*H99</f>
        <v>0</v>
      </c>
      <c r="AR99" s="128" t="s">
        <v>286</v>
      </c>
      <c r="AT99" s="128" t="s">
        <v>261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197</v>
      </c>
      <c r="BM99" s="128" t="s">
        <v>287</v>
      </c>
    </row>
    <row r="100" spans="2:65" s="26" customFormat="1" x14ac:dyDescent="0.25">
      <c r="B100" s="132"/>
      <c r="D100" s="179" t="s">
        <v>161</v>
      </c>
      <c r="F100" s="143" t="s">
        <v>655</v>
      </c>
      <c r="H100" s="166">
        <f>H98*0.00075</f>
        <v>0.59067000000000003</v>
      </c>
      <c r="L100" s="132"/>
      <c r="M100" s="180"/>
      <c r="T100" s="181"/>
      <c r="AT100" s="128" t="s">
        <v>161</v>
      </c>
      <c r="AU100" s="128" t="s">
        <v>88</v>
      </c>
      <c r="AV100" s="26" t="s">
        <v>88</v>
      </c>
      <c r="AW100" s="26" t="s">
        <v>1</v>
      </c>
      <c r="AX100" s="26" t="s">
        <v>42</v>
      </c>
      <c r="AY100" s="128" t="s">
        <v>126</v>
      </c>
    </row>
    <row r="101" spans="2:65" s="26" customFormat="1" ht="22.5" customHeight="1" x14ac:dyDescent="0.25">
      <c r="B101" s="169"/>
      <c r="C101" s="170" t="s">
        <v>127</v>
      </c>
      <c r="D101" s="170" t="s">
        <v>129</v>
      </c>
      <c r="E101" s="171" t="s">
        <v>289</v>
      </c>
      <c r="F101" s="172" t="s">
        <v>290</v>
      </c>
      <c r="G101" s="173" t="s">
        <v>136</v>
      </c>
      <c r="H101" s="174">
        <v>131.78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0.17499999999999999</v>
      </c>
      <c r="P101" s="177">
        <f>O101*H101</f>
        <v>23.061499999999999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197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197</v>
      </c>
      <c r="BM101" s="128" t="s">
        <v>291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656</v>
      </c>
      <c r="H102" s="166">
        <v>131.78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22.5" customHeight="1" x14ac:dyDescent="0.25">
      <c r="B103" s="169"/>
      <c r="C103" s="170" t="s">
        <v>424</v>
      </c>
      <c r="D103" s="170" t="s">
        <v>129</v>
      </c>
      <c r="E103" s="171" t="s">
        <v>293</v>
      </c>
      <c r="F103" s="172" t="s">
        <v>294</v>
      </c>
      <c r="G103" s="173" t="s">
        <v>136</v>
      </c>
      <c r="H103" s="174">
        <f>593*1.02</f>
        <v>604.86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0.43458000000000002</v>
      </c>
      <c r="P103" s="177">
        <f>O103*H103</f>
        <v>262.86005880000005</v>
      </c>
      <c r="Q103" s="177">
        <v>9.8999999999999999E-4</v>
      </c>
      <c r="R103" s="177">
        <f>Q103*H103</f>
        <v>0.59881139999999999</v>
      </c>
      <c r="S103" s="177">
        <v>0</v>
      </c>
      <c r="T103" s="178">
        <f>S103*H103</f>
        <v>0</v>
      </c>
      <c r="AR103" s="128" t="s">
        <v>197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295</v>
      </c>
    </row>
    <row r="104" spans="2:65" s="26" customFormat="1" ht="22.5" customHeight="1" x14ac:dyDescent="0.25">
      <c r="B104" s="169"/>
      <c r="C104" s="170" t="s">
        <v>264</v>
      </c>
      <c r="D104" s="170" t="s">
        <v>129</v>
      </c>
      <c r="E104" s="171" t="s">
        <v>296</v>
      </c>
      <c r="F104" s="172" t="s">
        <v>297</v>
      </c>
      <c r="G104" s="173" t="s">
        <v>136</v>
      </c>
      <c r="H104" s="174">
        <f>174*1.05</f>
        <v>182.70000000000002</v>
      </c>
      <c r="I104" s="174"/>
      <c r="J104" s="174">
        <f>ROUND(I104*H104,3)</f>
        <v>0</v>
      </c>
      <c r="K104" s="172" t="s">
        <v>9</v>
      </c>
      <c r="L104" s="132"/>
      <c r="M104" s="175" t="s">
        <v>9</v>
      </c>
      <c r="N104" s="176" t="s">
        <v>27</v>
      </c>
      <c r="O104" s="177">
        <v>0.435</v>
      </c>
      <c r="P104" s="177">
        <f>O104*H104</f>
        <v>79.474500000000006</v>
      </c>
      <c r="Q104" s="177">
        <v>9.8999999999999999E-4</v>
      </c>
      <c r="R104" s="177">
        <f>Q104*H104</f>
        <v>0.18087300000000001</v>
      </c>
      <c r="S104" s="177">
        <v>0</v>
      </c>
      <c r="T104" s="178">
        <f>S104*H104</f>
        <v>0</v>
      </c>
      <c r="AR104" s="128" t="s">
        <v>197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197</v>
      </c>
      <c r="BM104" s="128" t="s">
        <v>298</v>
      </c>
    </row>
    <row r="105" spans="2:65" s="26" customFormat="1" ht="16.5" customHeight="1" x14ac:dyDescent="0.25">
      <c r="B105" s="169"/>
      <c r="C105" s="187" t="s">
        <v>138</v>
      </c>
      <c r="D105" s="187" t="s">
        <v>261</v>
      </c>
      <c r="E105" s="188" t="s">
        <v>299</v>
      </c>
      <c r="F105" s="189" t="s">
        <v>300</v>
      </c>
      <c r="G105" s="190" t="s">
        <v>136</v>
      </c>
      <c r="H105" s="191">
        <f>H106</f>
        <v>905.69399999999996</v>
      </c>
      <c r="I105" s="191"/>
      <c r="J105" s="191">
        <f>ROUND(I105*H105,3)</f>
        <v>0</v>
      </c>
      <c r="K105" s="189" t="s">
        <v>156</v>
      </c>
      <c r="L105" s="199"/>
      <c r="M105" s="200" t="s">
        <v>9</v>
      </c>
      <c r="N105" s="201" t="s">
        <v>27</v>
      </c>
      <c r="O105" s="177">
        <v>0</v>
      </c>
      <c r="P105" s="177">
        <f>O105*H105</f>
        <v>0</v>
      </c>
      <c r="Q105" s="177">
        <v>5.0000000000000001E-3</v>
      </c>
      <c r="R105" s="177">
        <f>Q105*H105</f>
        <v>4.5284699999999996</v>
      </c>
      <c r="S105" s="177">
        <v>0</v>
      </c>
      <c r="T105" s="178">
        <f>S105*H105</f>
        <v>0</v>
      </c>
      <c r="AR105" s="128" t="s">
        <v>286</v>
      </c>
      <c r="AT105" s="128" t="s">
        <v>261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301</v>
      </c>
    </row>
    <row r="106" spans="2:65" s="26" customFormat="1" x14ac:dyDescent="0.25">
      <c r="B106" s="132"/>
      <c r="D106" s="179" t="s">
        <v>161</v>
      </c>
      <c r="F106" s="143" t="s">
        <v>657</v>
      </c>
      <c r="H106" s="166">
        <f>(H103+H104)*1.15</f>
        <v>905.69399999999996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</v>
      </c>
      <c r="AX106" s="26" t="s">
        <v>42</v>
      </c>
      <c r="AY106" s="128" t="s">
        <v>126</v>
      </c>
    </row>
    <row r="107" spans="2:65" s="26" customFormat="1" ht="16.5" customHeight="1" x14ac:dyDescent="0.25">
      <c r="B107" s="169"/>
      <c r="C107" s="187" t="s">
        <v>427</v>
      </c>
      <c r="D107" s="187" t="s">
        <v>261</v>
      </c>
      <c r="E107" s="188" t="s">
        <v>303</v>
      </c>
      <c r="F107" s="189" t="s">
        <v>304</v>
      </c>
      <c r="G107" s="190" t="s">
        <v>136</v>
      </c>
      <c r="H107" s="191">
        <f>H105</f>
        <v>905.69399999999996</v>
      </c>
      <c r="I107" s="191"/>
      <c r="J107" s="191">
        <f>ROUND(I107*H107,3)</f>
        <v>0</v>
      </c>
      <c r="K107" s="189" t="s">
        <v>9</v>
      </c>
      <c r="L107" s="199"/>
      <c r="M107" s="200" t="s">
        <v>9</v>
      </c>
      <c r="N107" s="201" t="s">
        <v>27</v>
      </c>
      <c r="O107" s="177">
        <v>0</v>
      </c>
      <c r="P107" s="177">
        <f>O107*H107</f>
        <v>0</v>
      </c>
      <c r="Q107" s="177">
        <v>5.0000000000000001E-3</v>
      </c>
      <c r="R107" s="177">
        <f>Q107*H107</f>
        <v>4.5284699999999996</v>
      </c>
      <c r="S107" s="177">
        <v>0</v>
      </c>
      <c r="T107" s="178">
        <f>S107*H107</f>
        <v>0</v>
      </c>
      <c r="AR107" s="128" t="s">
        <v>286</v>
      </c>
      <c r="AT107" s="128" t="s">
        <v>261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305</v>
      </c>
    </row>
    <row r="108" spans="2:65" s="26" customFormat="1" ht="16.5" customHeight="1" x14ac:dyDescent="0.25">
      <c r="B108" s="169"/>
      <c r="C108" s="170" t="s">
        <v>428</v>
      </c>
      <c r="D108" s="170" t="s">
        <v>129</v>
      </c>
      <c r="E108" s="171" t="s">
        <v>306</v>
      </c>
      <c r="F108" s="172" t="s">
        <v>307</v>
      </c>
      <c r="G108" s="173" t="s">
        <v>234</v>
      </c>
      <c r="H108" s="174">
        <f>H118+H119+H121</f>
        <v>243.10000000000002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</v>
      </c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308</v>
      </c>
    </row>
    <row r="109" spans="2:65" s="26" customFormat="1" ht="16.5" customHeight="1" x14ac:dyDescent="0.25">
      <c r="B109" s="169"/>
      <c r="C109" s="170" t="s">
        <v>429</v>
      </c>
      <c r="D109" s="170" t="s">
        <v>129</v>
      </c>
      <c r="E109" s="171" t="s">
        <v>316</v>
      </c>
      <c r="F109" s="172" t="s">
        <v>317</v>
      </c>
      <c r="G109" s="173" t="s">
        <v>205</v>
      </c>
      <c r="H109" s="174">
        <v>6</v>
      </c>
      <c r="I109" s="174"/>
      <c r="J109" s="174">
        <f>ROUND(I109*H109,3)</f>
        <v>0</v>
      </c>
      <c r="K109" s="172" t="s">
        <v>9</v>
      </c>
      <c r="L109" s="132"/>
      <c r="M109" s="175" t="s">
        <v>9</v>
      </c>
      <c r="N109" s="176" t="s">
        <v>27</v>
      </c>
      <c r="O109" s="177">
        <v>0.24274000000000001</v>
      </c>
      <c r="P109" s="177">
        <f>O109*H109</f>
        <v>1.4564400000000002</v>
      </c>
      <c r="Q109" s="177">
        <v>2.7599999999999999E-3</v>
      </c>
      <c r="R109" s="177">
        <f>Q109*H109</f>
        <v>1.6559999999999998E-2</v>
      </c>
      <c r="S109" s="177">
        <v>0</v>
      </c>
      <c r="T109" s="178">
        <f>S109*H109</f>
        <v>0</v>
      </c>
      <c r="AR109" s="128" t="s">
        <v>197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318</v>
      </c>
    </row>
    <row r="110" spans="2:65" s="26" customFormat="1" ht="16.5" customHeight="1" x14ac:dyDescent="0.25">
      <c r="B110" s="169"/>
      <c r="C110" s="187" t="s">
        <v>431</v>
      </c>
      <c r="D110" s="187" t="s">
        <v>261</v>
      </c>
      <c r="E110" s="188" t="s">
        <v>319</v>
      </c>
      <c r="F110" s="189" t="s">
        <v>320</v>
      </c>
      <c r="G110" s="190" t="s">
        <v>205</v>
      </c>
      <c r="H110" s="191">
        <v>6</v>
      </c>
      <c r="I110" s="191"/>
      <c r="J110" s="191">
        <f>ROUND(I110*H110,3)</f>
        <v>0</v>
      </c>
      <c r="K110" s="189" t="s">
        <v>9</v>
      </c>
      <c r="L110" s="199"/>
      <c r="M110" s="200" t="s">
        <v>9</v>
      </c>
      <c r="N110" s="201" t="s">
        <v>27</v>
      </c>
      <c r="O110" s="177">
        <v>0</v>
      </c>
      <c r="P110" s="177">
        <f>O110*H110</f>
        <v>0</v>
      </c>
      <c r="Q110" s="177">
        <v>8.4999999999999995E-4</v>
      </c>
      <c r="R110" s="177">
        <f>Q110*H110</f>
        <v>5.0999999999999995E-3</v>
      </c>
      <c r="S110" s="177">
        <v>0</v>
      </c>
      <c r="T110" s="178">
        <f>S110*H110</f>
        <v>0</v>
      </c>
      <c r="AR110" s="128" t="s">
        <v>286</v>
      </c>
      <c r="AT110" s="128" t="s">
        <v>261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197</v>
      </c>
      <c r="BM110" s="128" t="s">
        <v>321</v>
      </c>
    </row>
    <row r="111" spans="2:65" s="26" customFormat="1" ht="16.5" customHeight="1" x14ac:dyDescent="0.25">
      <c r="B111" s="169"/>
      <c r="C111" s="170" t="s">
        <v>432</v>
      </c>
      <c r="D111" s="170" t="s">
        <v>129</v>
      </c>
      <c r="E111" s="171" t="s">
        <v>322</v>
      </c>
      <c r="F111" s="172" t="s">
        <v>323</v>
      </c>
      <c r="G111" s="173" t="s">
        <v>324</v>
      </c>
      <c r="H111" s="174">
        <f>SUM(J98:J110)/100*1.3</f>
        <v>0</v>
      </c>
      <c r="I111" s="174"/>
      <c r="J111" s="174">
        <f>ROUND(I111*H111,3)</f>
        <v>0</v>
      </c>
      <c r="K111" s="172" t="s">
        <v>156</v>
      </c>
      <c r="L111" s="132"/>
      <c r="M111" s="175" t="s">
        <v>9</v>
      </c>
      <c r="N111" s="176" t="s">
        <v>27</v>
      </c>
      <c r="O111" s="177">
        <v>0</v>
      </c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197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325</v>
      </c>
    </row>
    <row r="112" spans="2:65" s="158" customFormat="1" ht="22.9" customHeight="1" x14ac:dyDescent="0.2">
      <c r="B112" s="157"/>
      <c r="D112" s="159" t="s">
        <v>123</v>
      </c>
      <c r="E112" s="167" t="s">
        <v>326</v>
      </c>
      <c r="F112" s="167" t="s">
        <v>327</v>
      </c>
      <c r="J112" s="168">
        <f>BK112</f>
        <v>0</v>
      </c>
      <c r="L112" s="157"/>
      <c r="M112" s="162"/>
      <c r="P112" s="163">
        <f>SUM(P113:P116)</f>
        <v>102.59282399999999</v>
      </c>
      <c r="R112" s="163">
        <f>SUM(R113:R116)</f>
        <v>1.4633332912499999</v>
      </c>
      <c r="T112" s="164">
        <f>SUM(T113:T116)</f>
        <v>0</v>
      </c>
      <c r="AR112" s="159" t="s">
        <v>88</v>
      </c>
      <c r="AT112" s="165" t="s">
        <v>123</v>
      </c>
      <c r="AU112" s="165" t="s">
        <v>42</v>
      </c>
      <c r="AY112" s="159" t="s">
        <v>126</v>
      </c>
      <c r="BK112" s="166">
        <f>SUM(BK113:BK116)</f>
        <v>0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328</v>
      </c>
      <c r="F113" s="172" t="s">
        <v>329</v>
      </c>
      <c r="G113" s="173" t="s">
        <v>136</v>
      </c>
      <c r="H113" s="174">
        <f>197.67*1.05</f>
        <v>207.55349999999999</v>
      </c>
      <c r="I113" s="174"/>
      <c r="J113" s="174">
        <f>ROUND(I113*H113,3)</f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0.46400000000000002</v>
      </c>
      <c r="P113" s="177">
        <f>O113*H113</f>
        <v>96.304823999999996</v>
      </c>
      <c r="Q113" s="177">
        <v>4.0000000000000001E-3</v>
      </c>
      <c r="R113" s="177">
        <f>Q113*H113</f>
        <v>0.83021400000000001</v>
      </c>
      <c r="S113" s="177">
        <v>0</v>
      </c>
      <c r="T113" s="178">
        <f>S113*H113</f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197</v>
      </c>
      <c r="BM113" s="128" t="s">
        <v>330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331</v>
      </c>
      <c r="F114" s="189" t="s">
        <v>332</v>
      </c>
      <c r="G114" s="190" t="s">
        <v>136</v>
      </c>
      <c r="H114" s="191">
        <f>H113*1.15</f>
        <v>238.68652499999996</v>
      </c>
      <c r="I114" s="191"/>
      <c r="J114" s="191">
        <f>ROUND(I114*H114,3)</f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>O114*H114</f>
        <v>0</v>
      </c>
      <c r="Q114" s="177">
        <v>2.65E-3</v>
      </c>
      <c r="R114" s="177">
        <f>Q114*H114</f>
        <v>0.63251929124999995</v>
      </c>
      <c r="S114" s="177">
        <v>0</v>
      </c>
      <c r="T114" s="178">
        <f>S114*H114</f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197</v>
      </c>
      <c r="BM114" s="128" t="s">
        <v>333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335</v>
      </c>
      <c r="F115" s="172" t="s">
        <v>336</v>
      </c>
      <c r="G115" s="173" t="s">
        <v>234</v>
      </c>
      <c r="H115" s="174">
        <v>12</v>
      </c>
      <c r="I115" s="174"/>
      <c r="J115" s="174">
        <f>ROUND(I115*H115,3)</f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0.52400000000000002</v>
      </c>
      <c r="P115" s="177">
        <f>O115*H115</f>
        <v>6.2880000000000003</v>
      </c>
      <c r="Q115" s="177">
        <v>5.0000000000000002E-5</v>
      </c>
      <c r="R115" s="177">
        <f>Q115*H115</f>
        <v>6.0000000000000006E-4</v>
      </c>
      <c r="S115" s="177">
        <v>0</v>
      </c>
      <c r="T115" s="178">
        <f>S115*H115</f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197</v>
      </c>
      <c r="BM115" s="128" t="s">
        <v>337</v>
      </c>
    </row>
    <row r="116" spans="2:65" s="26" customFormat="1" ht="16.5" customHeight="1" x14ac:dyDescent="0.25">
      <c r="B116" s="169"/>
      <c r="C116" s="170" t="s">
        <v>435</v>
      </c>
      <c r="D116" s="170" t="s">
        <v>129</v>
      </c>
      <c r="E116" s="171" t="s">
        <v>338</v>
      </c>
      <c r="F116" s="172" t="s">
        <v>339</v>
      </c>
      <c r="G116" s="173" t="s">
        <v>324</v>
      </c>
      <c r="H116" s="174">
        <f>SUM(J113:J115)/100*1.3</f>
        <v>0</v>
      </c>
      <c r="I116" s="174"/>
      <c r="J116" s="174">
        <f>ROUND(I116*H116,3)</f>
        <v>0</v>
      </c>
      <c r="K116" s="172" t="s">
        <v>156</v>
      </c>
      <c r="L116" s="132"/>
      <c r="M116" s="175" t="s">
        <v>9</v>
      </c>
      <c r="N116" s="176" t="s">
        <v>27</v>
      </c>
      <c r="O116" s="177">
        <v>0</v>
      </c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28" t="s">
        <v>197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197</v>
      </c>
      <c r="BM116" s="128" t="s">
        <v>340</v>
      </c>
    </row>
    <row r="117" spans="2:65" s="158" customFormat="1" ht="22.9" customHeight="1" x14ac:dyDescent="0.2">
      <c r="B117" s="157"/>
      <c r="D117" s="159" t="s">
        <v>123</v>
      </c>
      <c r="E117" s="167" t="s">
        <v>223</v>
      </c>
      <c r="F117" s="167" t="s">
        <v>224</v>
      </c>
      <c r="J117" s="168">
        <f>BK117</f>
        <v>0</v>
      </c>
      <c r="L117" s="157"/>
      <c r="M117" s="162"/>
      <c r="P117" s="163">
        <f>SUM(P118:P123)</f>
        <v>186.47998600000003</v>
      </c>
      <c r="R117" s="163">
        <f>SUM(R118:R123)</f>
        <v>0.89615900000000015</v>
      </c>
      <c r="T117" s="164">
        <f>SUM(T118:T123)</f>
        <v>0</v>
      </c>
      <c r="AR117" s="159" t="s">
        <v>88</v>
      </c>
      <c r="AT117" s="165" t="s">
        <v>123</v>
      </c>
      <c r="AU117" s="165" t="s">
        <v>42</v>
      </c>
      <c r="AY117" s="159" t="s">
        <v>126</v>
      </c>
      <c r="BK117" s="166">
        <f>SUM(BK118:BK123)</f>
        <v>0</v>
      </c>
    </row>
    <row r="118" spans="2:65" s="26" customFormat="1" ht="16.5" customHeight="1" x14ac:dyDescent="0.25">
      <c r="B118" s="169"/>
      <c r="C118" s="170" t="s">
        <v>436</v>
      </c>
      <c r="D118" s="170" t="s">
        <v>129</v>
      </c>
      <c r="E118" s="171" t="s">
        <v>341</v>
      </c>
      <c r="F118" s="172" t="s">
        <v>342</v>
      </c>
      <c r="G118" s="173" t="s">
        <v>230</v>
      </c>
      <c r="H118" s="174">
        <f>38*1.1</f>
        <v>41.800000000000004</v>
      </c>
      <c r="I118" s="174"/>
      <c r="J118" s="174">
        <f>ROUND(I118*H118,3)</f>
        <v>0</v>
      </c>
      <c r="K118" s="172" t="s">
        <v>156</v>
      </c>
      <c r="L118" s="132"/>
      <c r="M118" s="175" t="s">
        <v>9</v>
      </c>
      <c r="N118" s="176" t="s">
        <v>27</v>
      </c>
      <c r="O118" s="177">
        <v>0.44508999999999999</v>
      </c>
      <c r="P118" s="177">
        <f>O118*H118</f>
        <v>18.604762000000001</v>
      </c>
      <c r="Q118" s="177">
        <v>2.0899999999999998E-3</v>
      </c>
      <c r="R118" s="177">
        <f>Q118*H118</f>
        <v>8.7362000000000009E-2</v>
      </c>
      <c r="S118" s="177">
        <v>0</v>
      </c>
      <c r="T118" s="178">
        <f>S118*H118</f>
        <v>0</v>
      </c>
      <c r="AR118" s="128" t="s">
        <v>197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197</v>
      </c>
      <c r="BM118" s="128" t="s">
        <v>343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351</v>
      </c>
      <c r="F119" s="172" t="s">
        <v>352</v>
      </c>
      <c r="G119" s="173" t="s">
        <v>230</v>
      </c>
      <c r="H119" s="174">
        <f>171*1.1</f>
        <v>188.10000000000002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0.83</v>
      </c>
      <c r="P119" s="177">
        <f>O119*H119</f>
        <v>156.12300000000002</v>
      </c>
      <c r="Q119" s="177">
        <v>4.2900000000000004E-3</v>
      </c>
      <c r="R119" s="177">
        <f>Q119*H119</f>
        <v>0.80694900000000014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353</v>
      </c>
    </row>
    <row r="120" spans="2:65" s="26" customFormat="1" x14ac:dyDescent="0.25">
      <c r="B120" s="132"/>
      <c r="D120" s="179" t="s">
        <v>161</v>
      </c>
      <c r="E120" s="128" t="s">
        <v>9</v>
      </c>
      <c r="F120" s="143" t="s">
        <v>355</v>
      </c>
      <c r="H120" s="166"/>
      <c r="L120" s="132"/>
      <c r="M120" s="180"/>
      <c r="T120" s="181"/>
      <c r="AT120" s="128" t="s">
        <v>161</v>
      </c>
      <c r="AU120" s="128" t="s">
        <v>88</v>
      </c>
      <c r="AV120" s="26" t="s">
        <v>88</v>
      </c>
      <c r="AW120" s="26" t="s">
        <v>163</v>
      </c>
      <c r="AX120" s="26" t="s">
        <v>39</v>
      </c>
      <c r="AY120" s="128" t="s">
        <v>126</v>
      </c>
    </row>
    <row r="121" spans="2:65" s="26" customFormat="1" ht="16.5" customHeight="1" x14ac:dyDescent="0.25">
      <c r="B121" s="169"/>
      <c r="C121" s="170" t="s">
        <v>437</v>
      </c>
      <c r="D121" s="170" t="s">
        <v>129</v>
      </c>
      <c r="E121" s="171" t="s">
        <v>362</v>
      </c>
      <c r="F121" s="172" t="s">
        <v>363</v>
      </c>
      <c r="G121" s="173" t="s">
        <v>230</v>
      </c>
      <c r="H121" s="174">
        <f>12*1.1</f>
        <v>13.200000000000001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0.89032</v>
      </c>
      <c r="P121" s="177">
        <f>O121*H121</f>
        <v>11.752224000000002</v>
      </c>
      <c r="Q121" s="177">
        <v>1.3999999999999999E-4</v>
      </c>
      <c r="R121" s="177">
        <f>Q121*H121</f>
        <v>1.848E-3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364</v>
      </c>
    </row>
    <row r="122" spans="2:65" s="26" customFormat="1" ht="16.5" customHeight="1" x14ac:dyDescent="0.25">
      <c r="B122" s="169"/>
      <c r="C122" s="170" t="s">
        <v>438</v>
      </c>
      <c r="D122" s="170" t="s">
        <v>129</v>
      </c>
      <c r="E122" s="171" t="s">
        <v>365</v>
      </c>
      <c r="F122" s="172" t="s">
        <v>366</v>
      </c>
      <c r="G122" s="173" t="s">
        <v>234</v>
      </c>
      <c r="H122" s="174">
        <f>H118</f>
        <v>41.800000000000004</v>
      </c>
      <c r="I122" s="174"/>
      <c r="J122" s="174">
        <f>ROUND(I122*H122,3)</f>
        <v>0</v>
      </c>
      <c r="K122" s="172" t="s">
        <v>9</v>
      </c>
      <c r="L122" s="132"/>
      <c r="M122" s="175" t="s">
        <v>9</v>
      </c>
      <c r="N122" s="176" t="s">
        <v>27</v>
      </c>
      <c r="O122" s="177">
        <v>0</v>
      </c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197</v>
      </c>
      <c r="BM122" s="128" t="s">
        <v>367</v>
      </c>
    </row>
    <row r="123" spans="2:65" s="26" customFormat="1" ht="16.5" customHeight="1" x14ac:dyDescent="0.25">
      <c r="B123" s="169"/>
      <c r="C123" s="170" t="s">
        <v>439</v>
      </c>
      <c r="D123" s="170" t="s">
        <v>129</v>
      </c>
      <c r="E123" s="171" t="s">
        <v>368</v>
      </c>
      <c r="F123" s="172" t="s">
        <v>369</v>
      </c>
      <c r="G123" s="173" t="s">
        <v>324</v>
      </c>
      <c r="H123" s="174">
        <f>SUM(J118:J122)/100*1.3</f>
        <v>0</v>
      </c>
      <c r="I123" s="174"/>
      <c r="J123" s="174">
        <f>ROUND(I123*H123,3)</f>
        <v>0</v>
      </c>
      <c r="K123" s="172" t="s">
        <v>156</v>
      </c>
      <c r="L123" s="132"/>
      <c r="M123" s="175" t="s">
        <v>9</v>
      </c>
      <c r="N123" s="176" t="s">
        <v>27</v>
      </c>
      <c r="O123" s="177">
        <v>0</v>
      </c>
      <c r="P123" s="177">
        <f>O123*H123</f>
        <v>0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128" t="s">
        <v>197</v>
      </c>
      <c r="AT123" s="128" t="s">
        <v>129</v>
      </c>
      <c r="AU123" s="128" t="s">
        <v>88</v>
      </c>
      <c r="AY123" s="128" t="s">
        <v>126</v>
      </c>
      <c r="BE123" s="138">
        <f>IF(N123="základná",J123,0)</f>
        <v>0</v>
      </c>
      <c r="BF123" s="138">
        <f>IF(N123="znížená",J123,0)</f>
        <v>0</v>
      </c>
      <c r="BG123" s="138">
        <f>IF(N123="zákl. prenesená",J123,0)</f>
        <v>0</v>
      </c>
      <c r="BH123" s="138">
        <f>IF(N123="zníž. prenesená",J123,0)</f>
        <v>0</v>
      </c>
      <c r="BI123" s="138">
        <f>IF(N123="nulová",J123,0)</f>
        <v>0</v>
      </c>
      <c r="BJ123" s="128" t="s">
        <v>88</v>
      </c>
      <c r="BK123" s="166">
        <f>ROUND(I123*H123,3)</f>
        <v>0</v>
      </c>
      <c r="BL123" s="128" t="s">
        <v>197</v>
      </c>
      <c r="BM123" s="128" t="s">
        <v>370</v>
      </c>
    </row>
    <row r="124" spans="2:65" s="158" customFormat="1" ht="25.9" customHeight="1" x14ac:dyDescent="0.2">
      <c r="B124" s="157"/>
      <c r="D124" s="159" t="s">
        <v>123</v>
      </c>
      <c r="E124" s="160" t="s">
        <v>261</v>
      </c>
      <c r="F124" s="160" t="s">
        <v>383</v>
      </c>
      <c r="J124" s="161">
        <f>BK124</f>
        <v>0</v>
      </c>
      <c r="L124" s="157"/>
      <c r="M124" s="162"/>
      <c r="P124" s="163">
        <f>P125</f>
        <v>0.15</v>
      </c>
      <c r="R124" s="163">
        <f>R125</f>
        <v>0</v>
      </c>
      <c r="T124" s="164">
        <f>T125</f>
        <v>0</v>
      </c>
      <c r="AR124" s="159" t="s">
        <v>140</v>
      </c>
      <c r="AT124" s="165" t="s">
        <v>123</v>
      </c>
      <c r="AU124" s="165" t="s">
        <v>39</v>
      </c>
      <c r="AY124" s="159" t="s">
        <v>126</v>
      </c>
      <c r="BK124" s="166">
        <f>BK125</f>
        <v>0</v>
      </c>
    </row>
    <row r="125" spans="2:65" s="158" customFormat="1" ht="22.9" customHeight="1" x14ac:dyDescent="0.2">
      <c r="B125" s="157"/>
      <c r="D125" s="159" t="s">
        <v>123</v>
      </c>
      <c r="E125" s="167" t="s">
        <v>384</v>
      </c>
      <c r="F125" s="167" t="s">
        <v>385</v>
      </c>
      <c r="J125" s="168">
        <f>BK125</f>
        <v>0</v>
      </c>
      <c r="L125" s="157"/>
      <c r="M125" s="162"/>
      <c r="P125" s="163">
        <f>P126</f>
        <v>0.15</v>
      </c>
      <c r="R125" s="163">
        <f>R126</f>
        <v>0</v>
      </c>
      <c r="T125" s="164">
        <f>T126</f>
        <v>0</v>
      </c>
      <c r="AR125" s="159" t="s">
        <v>140</v>
      </c>
      <c r="AT125" s="165" t="s">
        <v>123</v>
      </c>
      <c r="AU125" s="165" t="s">
        <v>42</v>
      </c>
      <c r="AY125" s="159" t="s">
        <v>126</v>
      </c>
      <c r="BK125" s="166">
        <f>BK126</f>
        <v>0</v>
      </c>
    </row>
    <row r="126" spans="2:65" s="26" customFormat="1" ht="16.5" customHeight="1" x14ac:dyDescent="0.25">
      <c r="B126" s="169"/>
      <c r="C126" s="170" t="s">
        <v>440</v>
      </c>
      <c r="D126" s="170" t="s">
        <v>129</v>
      </c>
      <c r="E126" s="171" t="s">
        <v>386</v>
      </c>
      <c r="F126" s="172" t="s">
        <v>387</v>
      </c>
      <c r="G126" s="173" t="s">
        <v>153</v>
      </c>
      <c r="H126" s="174">
        <v>1</v>
      </c>
      <c r="I126" s="174"/>
      <c r="J126" s="174">
        <f>ROUND(I126*H126,3)</f>
        <v>0</v>
      </c>
      <c r="K126" s="172" t="s">
        <v>9</v>
      </c>
      <c r="L126" s="132"/>
      <c r="M126" s="183" t="s">
        <v>9</v>
      </c>
      <c r="N126" s="184" t="s">
        <v>27</v>
      </c>
      <c r="O126" s="185">
        <v>0.15</v>
      </c>
      <c r="P126" s="185">
        <f>O126*H126</f>
        <v>0.15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AR126" s="128" t="s">
        <v>388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388</v>
      </c>
      <c r="BM126" s="128" t="s">
        <v>389</v>
      </c>
    </row>
    <row r="127" spans="2:65" s="26" customFormat="1" ht="16.5" customHeight="1" x14ac:dyDescent="0.25">
      <c r="B127" s="169"/>
      <c r="C127" s="194"/>
      <c r="D127" s="194"/>
      <c r="E127" s="195"/>
      <c r="F127" s="196"/>
      <c r="G127" s="197"/>
      <c r="H127" s="198"/>
      <c r="I127" s="198"/>
      <c r="J127" s="198"/>
      <c r="K127" s="196"/>
      <c r="L127" s="132"/>
      <c r="M127" s="128"/>
      <c r="N127" s="176"/>
      <c r="O127" s="177"/>
      <c r="P127" s="177"/>
      <c r="Q127" s="177"/>
      <c r="R127" s="177"/>
      <c r="S127" s="177"/>
      <c r="T127" s="177"/>
      <c r="AR127" s="128"/>
      <c r="AT127" s="128"/>
      <c r="AU127" s="128"/>
      <c r="AY127" s="128"/>
      <c r="BE127" s="138"/>
      <c r="BF127" s="138"/>
      <c r="BG127" s="138"/>
      <c r="BH127" s="138"/>
      <c r="BI127" s="138"/>
      <c r="BJ127" s="128"/>
      <c r="BK127" s="166"/>
      <c r="BL127" s="128"/>
      <c r="BM127" s="128"/>
    </row>
    <row r="128" spans="2:65" s="158" customFormat="1" ht="25.9" customHeight="1" x14ac:dyDescent="0.2">
      <c r="B128" s="157"/>
      <c r="D128" s="159"/>
      <c r="E128" s="160"/>
      <c r="F128" s="160" t="s">
        <v>390</v>
      </c>
      <c r="J128" s="161">
        <f>J129</f>
        <v>0</v>
      </c>
      <c r="L128" s="157"/>
      <c r="M128" s="162"/>
      <c r="P128" s="163">
        <f>P129</f>
        <v>0.66</v>
      </c>
      <c r="R128" s="163">
        <f>R129</f>
        <v>0</v>
      </c>
      <c r="T128" s="164">
        <f>T129</f>
        <v>0</v>
      </c>
      <c r="AR128" s="159" t="s">
        <v>140</v>
      </c>
      <c r="AT128" s="165" t="s">
        <v>123</v>
      </c>
      <c r="AU128" s="165" t="s">
        <v>39</v>
      </c>
      <c r="AY128" s="159" t="s">
        <v>126</v>
      </c>
      <c r="BK128" s="166">
        <f>BK129</f>
        <v>0</v>
      </c>
    </row>
    <row r="129" spans="2:65" s="158" customFormat="1" ht="22.9" customHeight="1" x14ac:dyDescent="0.2">
      <c r="B129" s="157"/>
      <c r="D129" s="159" t="s">
        <v>391</v>
      </c>
      <c r="E129" s="167">
        <v>0</v>
      </c>
      <c r="F129" s="167" t="s">
        <v>392</v>
      </c>
      <c r="J129" s="168">
        <f>SUM(J130:J133)</f>
        <v>0</v>
      </c>
      <c r="L129" s="157"/>
      <c r="M129" s="162"/>
      <c r="P129" s="163">
        <f>P130</f>
        <v>0.66</v>
      </c>
      <c r="R129" s="163">
        <f>R130</f>
        <v>0</v>
      </c>
      <c r="T129" s="164">
        <f>T130</f>
        <v>0</v>
      </c>
      <c r="AR129" s="159" t="s">
        <v>140</v>
      </c>
      <c r="AT129" s="165" t="s">
        <v>123</v>
      </c>
      <c r="AU129" s="165" t="s">
        <v>42</v>
      </c>
      <c r="AY129" s="159" t="s">
        <v>126</v>
      </c>
      <c r="BK129" s="166">
        <f>BK130</f>
        <v>0</v>
      </c>
    </row>
    <row r="130" spans="2:65" s="26" customFormat="1" ht="16.5" customHeight="1" x14ac:dyDescent="0.25">
      <c r="B130" s="169"/>
      <c r="C130" s="170">
        <v>25</v>
      </c>
      <c r="D130" s="170" t="s">
        <v>129</v>
      </c>
      <c r="E130" s="171" t="s">
        <v>393</v>
      </c>
      <c r="F130" s="172" t="s">
        <v>394</v>
      </c>
      <c r="G130" s="173" t="s">
        <v>324</v>
      </c>
      <c r="H130" s="174">
        <f>'[1]J montáž - skúška 1.1'!H144</f>
        <v>4.4000000000000004</v>
      </c>
      <c r="I130" s="174"/>
      <c r="J130" s="174">
        <f>ROUND(I130*H130,3)</f>
        <v>0</v>
      </c>
      <c r="K130" s="172" t="s">
        <v>9</v>
      </c>
      <c r="L130" s="132"/>
      <c r="M130" s="183" t="s">
        <v>9</v>
      </c>
      <c r="N130" s="184" t="s">
        <v>27</v>
      </c>
      <c r="O130" s="185">
        <v>0.15</v>
      </c>
      <c r="P130" s="185">
        <f>O130*H130</f>
        <v>0.66</v>
      </c>
      <c r="Q130" s="185">
        <v>0</v>
      </c>
      <c r="R130" s="185">
        <f>Q130*H130</f>
        <v>0</v>
      </c>
      <c r="S130" s="185">
        <v>0</v>
      </c>
      <c r="T130" s="186">
        <f>S130*H130</f>
        <v>0</v>
      </c>
      <c r="AR130" s="128" t="s">
        <v>388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388</v>
      </c>
      <c r="BM130" s="128" t="s">
        <v>389</v>
      </c>
    </row>
    <row r="131" spans="2:65" s="26" customFormat="1" ht="16.5" customHeight="1" x14ac:dyDescent="0.25">
      <c r="B131" s="169"/>
      <c r="C131" s="170">
        <v>26</v>
      </c>
      <c r="D131" s="170" t="s">
        <v>129</v>
      </c>
      <c r="E131" s="171" t="s">
        <v>395</v>
      </c>
      <c r="F131" s="172" t="s">
        <v>396</v>
      </c>
      <c r="G131" s="173" t="s">
        <v>324</v>
      </c>
      <c r="H131" s="174">
        <f>'[1]J montáž - skúška 1.1'!H145</f>
        <v>1</v>
      </c>
      <c r="I131" s="174"/>
      <c r="J131" s="174">
        <f>ROUND(I131*H131,3)</f>
        <v>0</v>
      </c>
      <c r="K131" s="172" t="s">
        <v>9</v>
      </c>
      <c r="L131" s="132"/>
      <c r="M131" s="183" t="s">
        <v>9</v>
      </c>
      <c r="N131" s="184" t="s">
        <v>27</v>
      </c>
      <c r="O131" s="185">
        <v>0.15</v>
      </c>
      <c r="P131" s="185">
        <f>O131*H131</f>
        <v>0.15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128" t="s">
        <v>388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388</v>
      </c>
      <c r="BM131" s="128" t="s">
        <v>389</v>
      </c>
    </row>
    <row r="132" spans="2:65" s="26" customFormat="1" ht="16.5" customHeight="1" x14ac:dyDescent="0.25">
      <c r="B132" s="169"/>
      <c r="C132" s="170">
        <v>27</v>
      </c>
      <c r="D132" s="170" t="s">
        <v>129</v>
      </c>
      <c r="E132" s="171" t="s">
        <v>397</v>
      </c>
      <c r="F132" s="172" t="s">
        <v>398</v>
      </c>
      <c r="G132" s="173" t="s">
        <v>399</v>
      </c>
      <c r="H132" s="174">
        <f>H98*0.15</f>
        <v>118.134</v>
      </c>
      <c r="I132" s="174"/>
      <c r="J132" s="174">
        <f>ROUND(I132*H132,3)</f>
        <v>0</v>
      </c>
      <c r="K132" s="172"/>
      <c r="L132" s="132"/>
      <c r="M132" s="183"/>
      <c r="N132" s="184"/>
      <c r="O132" s="185"/>
      <c r="P132" s="185"/>
      <c r="Q132" s="185"/>
      <c r="R132" s="185"/>
      <c r="S132" s="185"/>
      <c r="T132" s="186"/>
      <c r="AR132" s="128"/>
      <c r="AT132" s="128"/>
      <c r="AU132" s="128"/>
      <c r="AY132" s="128"/>
      <c r="BE132" s="138"/>
      <c r="BF132" s="138"/>
      <c r="BG132" s="138"/>
      <c r="BH132" s="138"/>
      <c r="BI132" s="138"/>
      <c r="BJ132" s="128"/>
      <c r="BK132" s="166"/>
      <c r="BL132" s="128"/>
      <c r="BM132" s="128"/>
    </row>
    <row r="133" spans="2:65" s="26" customFormat="1" ht="16.5" customHeight="1" x14ac:dyDescent="0.25">
      <c r="B133" s="169"/>
      <c r="C133" s="170">
        <v>28</v>
      </c>
      <c r="D133" s="170" t="s">
        <v>129</v>
      </c>
      <c r="E133" s="171" t="s">
        <v>397</v>
      </c>
      <c r="F133" s="172" t="s">
        <v>401</v>
      </c>
      <c r="G133" s="173" t="s">
        <v>324</v>
      </c>
      <c r="H133" s="174">
        <f>'[1]J montáž - skúška 1.1'!H147</f>
        <v>12.1</v>
      </c>
      <c r="I133" s="174"/>
      <c r="J133" s="174">
        <f>ROUND(I133*H133,3)</f>
        <v>0</v>
      </c>
      <c r="K133" s="172" t="s">
        <v>9</v>
      </c>
      <c r="L133" s="132"/>
      <c r="M133" s="183" t="s">
        <v>9</v>
      </c>
      <c r="N133" s="184" t="s">
        <v>27</v>
      </c>
      <c r="O133" s="185">
        <v>0.15</v>
      </c>
      <c r="P133" s="185">
        <f>O133*H133</f>
        <v>1.8149999999999999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AR133" s="128" t="s">
        <v>388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388</v>
      </c>
      <c r="BM133" s="128" t="s">
        <v>389</v>
      </c>
    </row>
    <row r="134" spans="2:65" s="26" customFormat="1" ht="6.95" customHeight="1" x14ac:dyDescent="0.25">
      <c r="B134" s="141"/>
      <c r="C134" s="36"/>
      <c r="D134" s="36"/>
      <c r="E134" s="36"/>
      <c r="F134" s="36"/>
      <c r="G134" s="36"/>
      <c r="H134" s="36"/>
      <c r="I134" s="36"/>
      <c r="J134" s="36"/>
      <c r="K134" s="36"/>
      <c r="L134" s="132"/>
    </row>
  </sheetData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1"/>
  <sheetViews>
    <sheetView topLeftCell="A80" workbookViewId="0">
      <selection activeCell="I89" sqref="I89:I129"/>
    </sheetView>
  </sheetViews>
  <sheetFormatPr defaultColWidth="7.85546875" defaultRowHeight="15" x14ac:dyDescent="0.25"/>
  <cols>
    <col min="1" max="1" width="7.140625" style="53" customWidth="1"/>
    <col min="2" max="2" width="1.42578125" style="53" customWidth="1"/>
    <col min="3" max="3" width="3.5703125" style="53" customWidth="1"/>
    <col min="4" max="4" width="3.7109375" style="53" customWidth="1"/>
    <col min="5" max="5" width="14.7109375" style="53" customWidth="1"/>
    <col min="6" max="6" width="86.42578125" style="53" customWidth="1"/>
    <col min="7" max="7" width="7.42578125" style="53" customWidth="1"/>
    <col min="8" max="8" width="9.5703125" style="53" customWidth="1"/>
    <col min="9" max="9" width="12.140625" style="53" customWidth="1"/>
    <col min="10" max="10" width="20.140625" style="53" customWidth="1"/>
    <col min="11" max="11" width="13.28515625" style="53" hidden="1" customWidth="1"/>
    <col min="12" max="12" width="8" style="53" customWidth="1"/>
    <col min="13" max="13" width="9.28515625" style="53" hidden="1" customWidth="1"/>
    <col min="14" max="14" width="7.85546875" style="53"/>
    <col min="15" max="20" width="12.140625" style="53" hidden="1" customWidth="1"/>
    <col min="21" max="21" width="14" style="53" hidden="1" customWidth="1"/>
    <col min="22" max="23" width="10.5703125" style="53" customWidth="1"/>
    <col min="24" max="24" width="12.85546875" style="53" customWidth="1"/>
    <col min="25" max="25" width="9.42578125" style="53" customWidth="1"/>
    <col min="26" max="26" width="12.85546875" style="53" customWidth="1"/>
    <col min="27" max="27" width="14" style="53" customWidth="1"/>
    <col min="28" max="28" width="9.42578125" style="53" customWidth="1"/>
    <col min="29" max="29" width="12.85546875" style="53" customWidth="1"/>
    <col min="30" max="30" width="14" style="53" customWidth="1"/>
    <col min="31" max="16384" width="7.85546875" style="53"/>
  </cols>
  <sheetData>
    <row r="1" spans="1:55" x14ac:dyDescent="0.25">
      <c r="A1" s="52"/>
    </row>
    <row r="2" spans="1:55" x14ac:dyDescent="0.25">
      <c r="L2" s="289" t="s">
        <v>84</v>
      </c>
      <c r="M2" s="290"/>
      <c r="N2" s="290"/>
      <c r="O2" s="290"/>
      <c r="P2" s="290"/>
      <c r="Q2" s="290"/>
      <c r="R2" s="290"/>
      <c r="S2" s="290"/>
      <c r="T2" s="290"/>
      <c r="U2" s="290"/>
      <c r="V2" s="290"/>
      <c r="AS2" s="54" t="s">
        <v>81</v>
      </c>
      <c r="AY2" s="54" t="s">
        <v>85</v>
      </c>
      <c r="AZ2" s="54" t="s">
        <v>86</v>
      </c>
      <c r="BA2" s="54" t="s">
        <v>9</v>
      </c>
      <c r="BB2" s="54" t="s">
        <v>658</v>
      </c>
      <c r="BC2" s="54" t="s">
        <v>88</v>
      </c>
    </row>
    <row r="3" spans="1:55" x14ac:dyDescent="0.25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  <c r="AS3" s="54" t="s">
        <v>39</v>
      </c>
      <c r="AY3" s="54" t="s">
        <v>90</v>
      </c>
      <c r="AZ3" s="54" t="s">
        <v>94</v>
      </c>
      <c r="BA3" s="54" t="s">
        <v>9</v>
      </c>
      <c r="BB3" s="54" t="s">
        <v>659</v>
      </c>
      <c r="BC3" s="54" t="s">
        <v>88</v>
      </c>
    </row>
    <row r="4" spans="1:55" ht="18" x14ac:dyDescent="0.25">
      <c r="B4" s="57"/>
      <c r="D4" s="58" t="s">
        <v>92</v>
      </c>
      <c r="L4" s="57"/>
      <c r="M4" s="54" t="s">
        <v>93</v>
      </c>
      <c r="AS4" s="54" t="s">
        <v>1</v>
      </c>
      <c r="AY4" s="54" t="s">
        <v>615</v>
      </c>
      <c r="AZ4" s="54" t="s">
        <v>660</v>
      </c>
      <c r="BA4" s="54" t="s">
        <v>9</v>
      </c>
      <c r="BB4" s="54" t="s">
        <v>661</v>
      </c>
      <c r="BC4" s="54" t="s">
        <v>88</v>
      </c>
    </row>
    <row r="5" spans="1:55" x14ac:dyDescent="0.25">
      <c r="B5" s="57"/>
      <c r="L5" s="57"/>
    </row>
    <row r="6" spans="1:55" x14ac:dyDescent="0.25">
      <c r="B6" s="57"/>
      <c r="D6" s="54" t="s">
        <v>7</v>
      </c>
      <c r="L6" s="57"/>
    </row>
    <row r="7" spans="1:55" x14ac:dyDescent="0.25">
      <c r="B7" s="57"/>
      <c r="E7" s="291" t="str">
        <f>'Rekapitulácia stavby'!K6</f>
        <v>Nemocnica Sv. Cyrila a Metoda v Bratislave</v>
      </c>
      <c r="F7" s="288"/>
      <c r="G7" s="288"/>
      <c r="H7" s="288"/>
      <c r="L7" s="57"/>
    </row>
    <row r="8" spans="1:55" s="2" customFormat="1" x14ac:dyDescent="0.25">
      <c r="B8" s="59"/>
      <c r="D8" s="54" t="s">
        <v>96</v>
      </c>
      <c r="L8" s="59"/>
    </row>
    <row r="9" spans="1:55" s="2" customFormat="1" x14ac:dyDescent="0.25">
      <c r="B9" s="59"/>
      <c r="E9" s="285" t="s">
        <v>80</v>
      </c>
      <c r="F9" s="286"/>
      <c r="G9" s="286"/>
      <c r="H9" s="286"/>
      <c r="L9" s="59"/>
    </row>
    <row r="10" spans="1:55" s="2" customFormat="1" x14ac:dyDescent="0.25">
      <c r="B10" s="59"/>
      <c r="L10" s="59"/>
    </row>
    <row r="11" spans="1:55" s="2" customFormat="1" x14ac:dyDescent="0.25">
      <c r="B11" s="59"/>
      <c r="D11" s="54" t="s">
        <v>8</v>
      </c>
      <c r="F11" s="54" t="s">
        <v>9</v>
      </c>
      <c r="I11" s="54" t="s">
        <v>10</v>
      </c>
      <c r="J11" s="54" t="s">
        <v>9</v>
      </c>
      <c r="L11" s="59"/>
    </row>
    <row r="12" spans="1:55" s="2" customFormat="1" x14ac:dyDescent="0.25">
      <c r="B12" s="59"/>
      <c r="D12" s="54" t="s">
        <v>11</v>
      </c>
      <c r="F12" s="54" t="s">
        <v>12</v>
      </c>
      <c r="I12" s="54" t="s">
        <v>13</v>
      </c>
      <c r="J12" s="6" t="e">
        <f>'[1]Rekapitulácia stavby'!#REF!</f>
        <v>#REF!</v>
      </c>
      <c r="L12" s="59"/>
    </row>
    <row r="13" spans="1:55" s="2" customFormat="1" x14ac:dyDescent="0.25">
      <c r="B13" s="59"/>
      <c r="L13" s="59"/>
    </row>
    <row r="14" spans="1:55" s="2" customFormat="1" x14ac:dyDescent="0.25">
      <c r="B14" s="59"/>
      <c r="D14" s="54" t="s">
        <v>14</v>
      </c>
      <c r="I14" s="54" t="s">
        <v>15</v>
      </c>
      <c r="J14" s="54" t="e">
        <f>IF('[1]Rekapitulácia stavby'!#REF!="","",'[1]Rekapitulácia stavby'!#REF!)</f>
        <v>#REF!</v>
      </c>
      <c r="L14" s="59"/>
    </row>
    <row r="15" spans="1:55" s="2" customFormat="1" x14ac:dyDescent="0.25">
      <c r="B15" s="59"/>
      <c r="E15" s="54" t="str">
        <f>IF('[1]Rekapitulácia stavby'!E11="","",'[1]Rekapitulácia stavby'!E11)</f>
        <v xml:space="preserve"> </v>
      </c>
      <c r="I15" s="54" t="s">
        <v>16</v>
      </c>
      <c r="J15" s="54" t="e">
        <f>IF('[1]Rekapitulácia stavby'!#REF!="","",'[1]Rekapitulácia stavby'!#REF!)</f>
        <v>#REF!</v>
      </c>
      <c r="L15" s="59"/>
    </row>
    <row r="16" spans="1:55" s="2" customFormat="1" x14ac:dyDescent="0.25">
      <c r="B16" s="59"/>
      <c r="L16" s="59"/>
    </row>
    <row r="17" spans="2:12" s="2" customFormat="1" x14ac:dyDescent="0.25">
      <c r="B17" s="59"/>
      <c r="D17" s="54" t="s">
        <v>17</v>
      </c>
      <c r="I17" s="54" t="s">
        <v>15</v>
      </c>
      <c r="J17" s="54" t="e">
        <f>'[1]Rekapitulácia stavby'!#REF!</f>
        <v>#REF!</v>
      </c>
      <c r="L17" s="59"/>
    </row>
    <row r="18" spans="2:12" s="2" customFormat="1" x14ac:dyDescent="0.25">
      <c r="B18" s="59"/>
      <c r="E18" s="288" t="str">
        <f>'[1]Rekapitulácia stavby'!E14</f>
        <v xml:space="preserve"> </v>
      </c>
      <c r="F18" s="288"/>
      <c r="G18" s="288"/>
      <c r="H18" s="288"/>
      <c r="I18" s="54" t="s">
        <v>16</v>
      </c>
      <c r="J18" s="54" t="e">
        <f>'[1]Rekapitulácia stavby'!#REF!</f>
        <v>#REF!</v>
      </c>
      <c r="L18" s="59"/>
    </row>
    <row r="19" spans="2:12" s="2" customFormat="1" x14ac:dyDescent="0.25">
      <c r="B19" s="59"/>
      <c r="L19" s="59"/>
    </row>
    <row r="20" spans="2:12" s="2" customFormat="1" x14ac:dyDescent="0.25">
      <c r="B20" s="59"/>
      <c r="D20" s="54" t="s">
        <v>18</v>
      </c>
      <c r="I20" s="54" t="s">
        <v>15</v>
      </c>
      <c r="J20" s="54" t="e">
        <f>IF('[1]Rekapitulácia stavby'!#REF!="","",'[1]Rekapitulácia stavby'!#REF!)</f>
        <v>#REF!</v>
      </c>
      <c r="L20" s="59"/>
    </row>
    <row r="21" spans="2:12" s="2" customFormat="1" x14ac:dyDescent="0.25">
      <c r="B21" s="59"/>
      <c r="E21" s="54" t="str">
        <f>IF('[1]Rekapitulácia stavby'!E17="","",'[1]Rekapitulácia stavby'!E17)</f>
        <v xml:space="preserve"> </v>
      </c>
      <c r="I21" s="54" t="s">
        <v>16</v>
      </c>
      <c r="J21" s="54" t="e">
        <f>IF('[1]Rekapitulácia stavby'!#REF!="","",'[1]Rekapitulácia stavby'!#REF!)</f>
        <v>#REF!</v>
      </c>
      <c r="L21" s="59"/>
    </row>
    <row r="22" spans="2:12" s="2" customFormat="1" x14ac:dyDescent="0.25">
      <c r="B22" s="59"/>
      <c r="L22" s="59"/>
    </row>
    <row r="23" spans="2:12" s="2" customFormat="1" x14ac:dyDescent="0.25">
      <c r="B23" s="59"/>
      <c r="D23" s="54" t="s">
        <v>19</v>
      </c>
      <c r="I23" s="54" t="s">
        <v>15</v>
      </c>
      <c r="J23" s="54" t="e">
        <f>IF('[1]Rekapitulácia stavby'!#REF!="","",'[1]Rekapitulácia stavby'!#REF!)</f>
        <v>#REF!</v>
      </c>
      <c r="L23" s="59"/>
    </row>
    <row r="24" spans="2:12" s="2" customFormat="1" x14ac:dyDescent="0.25">
      <c r="B24" s="59"/>
      <c r="E24" s="54" t="str">
        <f>IF('[1]Rekapitulácia stavby'!E20="","",'[1]Rekapitulácia stavby'!E20)</f>
        <v xml:space="preserve"> </v>
      </c>
      <c r="I24" s="54" t="s">
        <v>16</v>
      </c>
      <c r="J24" s="54" t="e">
        <f>IF('[1]Rekapitulácia stavby'!#REF!="","",'[1]Rekapitulácia stavby'!#REF!)</f>
        <v>#REF!</v>
      </c>
      <c r="L24" s="59"/>
    </row>
    <row r="25" spans="2:12" s="2" customFormat="1" x14ac:dyDescent="0.25">
      <c r="B25" s="59"/>
      <c r="L25" s="59"/>
    </row>
    <row r="26" spans="2:12" s="2" customFormat="1" x14ac:dyDescent="0.25">
      <c r="B26" s="59"/>
      <c r="D26" s="54" t="s">
        <v>20</v>
      </c>
      <c r="L26" s="59"/>
    </row>
    <row r="27" spans="2:12" s="7" customFormat="1" x14ac:dyDescent="0.25">
      <c r="B27" s="60"/>
      <c r="E27" s="287" t="s">
        <v>9</v>
      </c>
      <c r="F27" s="287"/>
      <c r="G27" s="287"/>
      <c r="H27" s="287"/>
      <c r="L27" s="60"/>
    </row>
    <row r="28" spans="2:12" s="2" customFormat="1" x14ac:dyDescent="0.25">
      <c r="B28" s="59"/>
      <c r="L28" s="59"/>
    </row>
    <row r="29" spans="2:12" s="2" customFormat="1" x14ac:dyDescent="0.25">
      <c r="B29" s="59"/>
      <c r="D29" s="61"/>
      <c r="E29" s="61"/>
      <c r="F29" s="61"/>
      <c r="G29" s="61"/>
      <c r="H29" s="61"/>
      <c r="I29" s="61"/>
      <c r="J29" s="61"/>
      <c r="K29" s="61"/>
      <c r="L29" s="59"/>
    </row>
    <row r="30" spans="2:12" s="2" customFormat="1" ht="15.75" x14ac:dyDescent="0.25">
      <c r="B30" s="59"/>
      <c r="D30" s="62" t="s">
        <v>21</v>
      </c>
      <c r="J30" s="63">
        <f>ROUND(J86, 2)</f>
        <v>0</v>
      </c>
      <c r="L30" s="59"/>
    </row>
    <row r="31" spans="2:12" s="2" customFormat="1" x14ac:dyDescent="0.25">
      <c r="B31" s="59"/>
      <c r="D31" s="61"/>
      <c r="E31" s="61"/>
      <c r="F31" s="61"/>
      <c r="G31" s="61"/>
      <c r="H31" s="61"/>
      <c r="I31" s="61"/>
      <c r="J31" s="61"/>
      <c r="K31" s="61"/>
      <c r="L31" s="59"/>
    </row>
    <row r="32" spans="2:12" s="2" customFormat="1" x14ac:dyDescent="0.25">
      <c r="B32" s="59"/>
      <c r="F32" s="64" t="s">
        <v>23</v>
      </c>
      <c r="I32" s="64" t="s">
        <v>22</v>
      </c>
      <c r="J32" s="64" t="s">
        <v>24</v>
      </c>
      <c r="L32" s="59"/>
    </row>
    <row r="33" spans="2:12" s="2" customFormat="1" x14ac:dyDescent="0.25">
      <c r="B33" s="59"/>
      <c r="D33" s="54" t="s">
        <v>25</v>
      </c>
      <c r="E33" s="54" t="s">
        <v>26</v>
      </c>
      <c r="F33" s="65">
        <f>ROUND((SUM(BD86:BD130)),  2)</f>
        <v>0</v>
      </c>
      <c r="I33" s="66">
        <v>0.2</v>
      </c>
      <c r="J33" s="65">
        <f>ROUND(((SUM(BD86:BD130))*I33),  2)</f>
        <v>0</v>
      </c>
      <c r="L33" s="59"/>
    </row>
    <row r="34" spans="2:12" s="2" customFormat="1" x14ac:dyDescent="0.25">
      <c r="B34" s="59"/>
      <c r="E34" s="54" t="s">
        <v>27</v>
      </c>
      <c r="F34" s="65">
        <f>ROUND((SUM(BE86:BE130)),  2)</f>
        <v>0</v>
      </c>
      <c r="I34" s="66">
        <v>0.2</v>
      </c>
      <c r="J34" s="65">
        <f>ROUND(((SUM(BE86:BE130))*I34),  2)</f>
        <v>0</v>
      </c>
      <c r="L34" s="59"/>
    </row>
    <row r="35" spans="2:12" s="2" customFormat="1" x14ac:dyDescent="0.25">
      <c r="B35" s="59"/>
      <c r="E35" s="54" t="s">
        <v>28</v>
      </c>
      <c r="F35" s="65">
        <f>ROUND((SUM(BF86:BF130)),  2)</f>
        <v>0</v>
      </c>
      <c r="I35" s="66">
        <v>0.2</v>
      </c>
      <c r="J35" s="65">
        <f>0</f>
        <v>0</v>
      </c>
      <c r="L35" s="59"/>
    </row>
    <row r="36" spans="2:12" s="2" customFormat="1" x14ac:dyDescent="0.25">
      <c r="B36" s="59"/>
      <c r="E36" s="54" t="s">
        <v>29</v>
      </c>
      <c r="F36" s="65">
        <f>ROUND((SUM(BG86:BG130)),  2)</f>
        <v>0</v>
      </c>
      <c r="I36" s="66">
        <v>0.2</v>
      </c>
      <c r="J36" s="65">
        <f>0</f>
        <v>0</v>
      </c>
      <c r="L36" s="59"/>
    </row>
    <row r="37" spans="2:12" s="2" customFormat="1" x14ac:dyDescent="0.25">
      <c r="B37" s="59"/>
      <c r="E37" s="54" t="s">
        <v>30</v>
      </c>
      <c r="F37" s="65">
        <f>ROUND((SUM(BH86:BH130)),  2)</f>
        <v>0</v>
      </c>
      <c r="I37" s="66">
        <v>0</v>
      </c>
      <c r="J37" s="65">
        <f>0</f>
        <v>0</v>
      </c>
      <c r="L37" s="59"/>
    </row>
    <row r="38" spans="2:12" s="2" customFormat="1" x14ac:dyDescent="0.25">
      <c r="B38" s="59"/>
      <c r="L38" s="59"/>
    </row>
    <row r="39" spans="2:12" s="2" customFormat="1" ht="15.75" x14ac:dyDescent="0.25">
      <c r="B39" s="59"/>
      <c r="D39" s="67" t="s">
        <v>31</v>
      </c>
      <c r="E39" s="3"/>
      <c r="F39" s="3"/>
      <c r="G39" s="68" t="s">
        <v>32</v>
      </c>
      <c r="H39" s="69" t="s">
        <v>33</v>
      </c>
      <c r="I39" s="3"/>
      <c r="J39" s="70">
        <f>SUM(J30:J37)</f>
        <v>0</v>
      </c>
      <c r="K39" s="71"/>
      <c r="L39" s="59"/>
    </row>
    <row r="40" spans="2:12" s="2" customFormat="1" x14ac:dyDescent="0.25">
      <c r="B40" s="72"/>
      <c r="C40" s="4"/>
      <c r="D40" s="4"/>
      <c r="E40" s="4"/>
      <c r="F40" s="4"/>
      <c r="G40" s="4"/>
      <c r="H40" s="4"/>
      <c r="I40" s="4"/>
      <c r="J40" s="4"/>
      <c r="K40" s="4"/>
      <c r="L40" s="59"/>
    </row>
    <row r="44" spans="2:12" s="2" customFormat="1" x14ac:dyDescent="0.25">
      <c r="B44" s="73"/>
      <c r="C44" s="5"/>
      <c r="D44" s="5"/>
      <c r="E44" s="5"/>
      <c r="F44" s="5"/>
      <c r="G44" s="5"/>
      <c r="H44" s="5"/>
      <c r="I44" s="5"/>
      <c r="J44" s="5"/>
      <c r="K44" s="5"/>
      <c r="L44" s="59"/>
    </row>
    <row r="45" spans="2:12" s="2" customFormat="1" ht="18" x14ac:dyDescent="0.25">
      <c r="B45" s="59"/>
      <c r="C45" s="58" t="s">
        <v>97</v>
      </c>
      <c r="L45" s="59"/>
    </row>
    <row r="46" spans="2:12" s="2" customFormat="1" x14ac:dyDescent="0.25">
      <c r="B46" s="59"/>
      <c r="L46" s="59"/>
    </row>
    <row r="47" spans="2:12" s="2" customFormat="1" x14ac:dyDescent="0.25">
      <c r="B47" s="59"/>
      <c r="C47" s="54" t="s">
        <v>7</v>
      </c>
      <c r="L47" s="59"/>
    </row>
    <row r="48" spans="2:12" s="2" customFormat="1" x14ac:dyDescent="0.25">
      <c r="B48" s="59"/>
      <c r="E48" s="287" t="str">
        <f>E7</f>
        <v>Nemocnica Sv. Cyrila a Metoda v Bratislave</v>
      </c>
      <c r="F48" s="288"/>
      <c r="G48" s="288"/>
      <c r="H48" s="288"/>
      <c r="L48" s="59"/>
    </row>
    <row r="49" spans="2:46" s="2" customFormat="1" x14ac:dyDescent="0.25">
      <c r="B49" s="59"/>
      <c r="C49" s="54" t="s">
        <v>96</v>
      </c>
      <c r="L49" s="59"/>
    </row>
    <row r="50" spans="2:46" s="2" customFormat="1" x14ac:dyDescent="0.25">
      <c r="B50" s="59"/>
      <c r="E50" s="285" t="str">
        <f>E9</f>
        <v>T- demontáž</v>
      </c>
      <c r="F50" s="286"/>
      <c r="G50" s="286"/>
      <c r="H50" s="286"/>
      <c r="L50" s="59"/>
    </row>
    <row r="51" spans="2:46" s="2" customFormat="1" x14ac:dyDescent="0.25">
      <c r="B51" s="59"/>
      <c r="L51" s="59"/>
    </row>
    <row r="52" spans="2:46" s="2" customFormat="1" x14ac:dyDescent="0.25">
      <c r="B52" s="59"/>
      <c r="C52" s="54" t="s">
        <v>11</v>
      </c>
      <c r="F52" s="54" t="str">
        <f>F12</f>
        <v xml:space="preserve"> </v>
      </c>
      <c r="I52" s="54" t="s">
        <v>13</v>
      </c>
      <c r="J52" s="6" t="e">
        <f>IF(J12="","",J12)</f>
        <v>#REF!</v>
      </c>
      <c r="L52" s="59"/>
    </row>
    <row r="53" spans="2:46" s="2" customFormat="1" x14ac:dyDescent="0.25">
      <c r="B53" s="59"/>
      <c r="L53" s="59"/>
    </row>
    <row r="54" spans="2:46" s="2" customFormat="1" x14ac:dyDescent="0.25">
      <c r="B54" s="59"/>
      <c r="C54" s="54" t="s">
        <v>14</v>
      </c>
      <c r="F54" s="54" t="str">
        <f>E15</f>
        <v xml:space="preserve"> </v>
      </c>
      <c r="I54" s="54" t="s">
        <v>18</v>
      </c>
      <c r="J54" s="74" t="str">
        <f>E21</f>
        <v xml:space="preserve"> </v>
      </c>
      <c r="L54" s="59"/>
    </row>
    <row r="55" spans="2:46" s="2" customFormat="1" x14ac:dyDescent="0.25">
      <c r="B55" s="59"/>
      <c r="C55" s="54" t="s">
        <v>17</v>
      </c>
      <c r="F55" s="54" t="str">
        <f>IF(E18="","",E18)</f>
        <v xml:space="preserve"> </v>
      </c>
      <c r="I55" s="54" t="s">
        <v>19</v>
      </c>
      <c r="J55" s="74" t="str">
        <f>E24</f>
        <v xml:space="preserve"> </v>
      </c>
      <c r="L55" s="59"/>
    </row>
    <row r="56" spans="2:46" s="2" customFormat="1" x14ac:dyDescent="0.25">
      <c r="B56" s="59"/>
      <c r="L56" s="59"/>
    </row>
    <row r="57" spans="2:46" s="2" customFormat="1" x14ac:dyDescent="0.25">
      <c r="B57" s="59"/>
      <c r="C57" s="75" t="s">
        <v>98</v>
      </c>
      <c r="J57" s="76" t="s">
        <v>99</v>
      </c>
      <c r="L57" s="59"/>
    </row>
    <row r="58" spans="2:46" s="2" customFormat="1" x14ac:dyDescent="0.25">
      <c r="B58" s="59"/>
      <c r="L58" s="59"/>
    </row>
    <row r="59" spans="2:46" s="2" customFormat="1" ht="15.75" x14ac:dyDescent="0.25">
      <c r="B59" s="59"/>
      <c r="C59" s="77" t="s">
        <v>100</v>
      </c>
      <c r="J59" s="63">
        <f>J86</f>
        <v>0</v>
      </c>
      <c r="L59" s="59"/>
      <c r="AT59" s="54" t="s">
        <v>101</v>
      </c>
    </row>
    <row r="60" spans="2:46" s="79" customFormat="1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6" s="84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6" s="84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6" s="79" customFormat="1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J117</f>
        <v>0</v>
      </c>
      <c r="L63" s="78"/>
    </row>
    <row r="64" spans="2:46" s="84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J118</f>
        <v>0</v>
      </c>
      <c r="L64" s="83"/>
    </row>
    <row r="65" spans="2:12" s="84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J127</f>
        <v>0</v>
      </c>
      <c r="L65" s="83"/>
    </row>
    <row r="66" spans="2:12" s="84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J130</f>
        <v>0</v>
      </c>
      <c r="L66" s="83"/>
    </row>
    <row r="67" spans="2:12" s="2" customFormat="1" x14ac:dyDescent="0.25">
      <c r="B67" s="59"/>
      <c r="L67" s="59"/>
    </row>
    <row r="68" spans="2:12" s="2" customFormat="1" x14ac:dyDescent="0.25">
      <c r="B68" s="72"/>
      <c r="C68" s="4"/>
      <c r="D68" s="4"/>
      <c r="E68" s="4"/>
      <c r="F68" s="4"/>
      <c r="G68" s="4"/>
      <c r="H68" s="4"/>
      <c r="I68" s="4"/>
      <c r="J68" s="4"/>
      <c r="K68" s="4"/>
      <c r="L68" s="59"/>
    </row>
    <row r="72" spans="2:12" s="2" customFormat="1" x14ac:dyDescent="0.25">
      <c r="B72" s="73"/>
      <c r="C72" s="5"/>
      <c r="D72" s="5"/>
      <c r="E72" s="5"/>
      <c r="F72" s="5"/>
      <c r="G72" s="5"/>
      <c r="H72" s="5"/>
      <c r="I72" s="5"/>
      <c r="J72" s="5"/>
      <c r="K72" s="5"/>
      <c r="L72" s="59"/>
    </row>
    <row r="73" spans="2:12" s="2" customFormat="1" ht="18" x14ac:dyDescent="0.25">
      <c r="B73" s="59"/>
      <c r="C73" s="58" t="s">
        <v>109</v>
      </c>
      <c r="L73" s="59"/>
    </row>
    <row r="74" spans="2:12" s="2" customFormat="1" x14ac:dyDescent="0.25">
      <c r="B74" s="59"/>
      <c r="L74" s="59"/>
    </row>
    <row r="75" spans="2:12" s="2" customFormat="1" x14ac:dyDescent="0.25">
      <c r="B75" s="59"/>
      <c r="C75" s="54" t="s">
        <v>7</v>
      </c>
      <c r="L75" s="59"/>
    </row>
    <row r="76" spans="2:12" s="2" customFormat="1" x14ac:dyDescent="0.25">
      <c r="B76" s="59"/>
      <c r="E76" s="287" t="str">
        <f>E7</f>
        <v>Nemocnica Sv. Cyrila a Metoda v Bratislave</v>
      </c>
      <c r="F76" s="288"/>
      <c r="G76" s="288"/>
      <c r="H76" s="288"/>
      <c r="L76" s="59"/>
    </row>
    <row r="77" spans="2:12" s="2" customFormat="1" x14ac:dyDescent="0.25">
      <c r="B77" s="59"/>
      <c r="C77" s="54" t="s">
        <v>96</v>
      </c>
      <c r="L77" s="59"/>
    </row>
    <row r="78" spans="2:12" s="2" customFormat="1" x14ac:dyDescent="0.25">
      <c r="B78" s="59"/>
      <c r="E78" s="285" t="s">
        <v>662</v>
      </c>
      <c r="F78" s="286"/>
      <c r="G78" s="286"/>
      <c r="H78" s="286"/>
      <c r="L78" s="59"/>
    </row>
    <row r="79" spans="2:12" s="2" customFormat="1" x14ac:dyDescent="0.25">
      <c r="B79" s="59"/>
      <c r="L79" s="59"/>
    </row>
    <row r="80" spans="2:12" s="2" customFormat="1" x14ac:dyDescent="0.25">
      <c r="B80" s="59"/>
      <c r="C80" s="54" t="s">
        <v>11</v>
      </c>
      <c r="F80" s="54" t="str">
        <f>F12</f>
        <v xml:space="preserve"> </v>
      </c>
      <c r="I80" s="54" t="s">
        <v>13</v>
      </c>
      <c r="J80" s="6" t="e">
        <f>IF(J12="","",J12)</f>
        <v>#REF!</v>
      </c>
      <c r="L80" s="59"/>
    </row>
    <row r="81" spans="2:64" s="2" customFormat="1" ht="6.95" customHeight="1" x14ac:dyDescent="0.25">
      <c r="B81" s="59"/>
      <c r="L81" s="59"/>
    </row>
    <row r="82" spans="2:64" s="2" customFormat="1" ht="13.7" customHeight="1" x14ac:dyDescent="0.25">
      <c r="B82" s="59"/>
      <c r="C82" s="54" t="s">
        <v>14</v>
      </c>
      <c r="F82" s="54" t="str">
        <f>E15</f>
        <v xml:space="preserve"> </v>
      </c>
      <c r="I82" s="54" t="s">
        <v>18</v>
      </c>
      <c r="J82" s="74" t="str">
        <f>E21</f>
        <v xml:space="preserve"> </v>
      </c>
      <c r="L82" s="59"/>
    </row>
    <row r="83" spans="2:64" s="2" customFormat="1" ht="13.7" customHeight="1" x14ac:dyDescent="0.25">
      <c r="B83" s="59"/>
      <c r="C83" s="54" t="s">
        <v>17</v>
      </c>
      <c r="F83" s="54" t="str">
        <f>IF(E18="","",E18)</f>
        <v xml:space="preserve"> </v>
      </c>
      <c r="I83" s="54" t="s">
        <v>19</v>
      </c>
      <c r="J83" s="74" t="str">
        <f>E24</f>
        <v xml:space="preserve"> </v>
      </c>
      <c r="L83" s="59"/>
    </row>
    <row r="84" spans="2:64" s="2" customFormat="1" ht="10.35" customHeight="1" x14ac:dyDescent="0.25">
      <c r="B84" s="59"/>
      <c r="L84" s="59"/>
    </row>
    <row r="85" spans="2:64" s="93" customFormat="1" ht="29.25" customHeight="1" x14ac:dyDescent="0.25">
      <c r="B85" s="88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92" t="s">
        <v>116</v>
      </c>
      <c r="L85" s="88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4" s="2" customFormat="1" ht="22.9" customHeight="1" x14ac:dyDescent="0.25">
      <c r="B86" s="59"/>
      <c r="C86" s="77" t="s">
        <v>100</v>
      </c>
      <c r="J86" s="94">
        <f>J87+J117</f>
        <v>0</v>
      </c>
      <c r="L86" s="59"/>
      <c r="M86" s="95"/>
      <c r="N86" s="61"/>
      <c r="O86" s="61"/>
      <c r="P86" s="96">
        <f>P87+P117</f>
        <v>3706.67153899</v>
      </c>
      <c r="Q86" s="61"/>
      <c r="R86" s="96">
        <f>R87+R117</f>
        <v>13.701498870000002</v>
      </c>
      <c r="S86" s="61"/>
      <c r="T86" s="97">
        <f>T87+T117</f>
        <v>175.43866</v>
      </c>
      <c r="AS86" s="54" t="s">
        <v>123</v>
      </c>
      <c r="AT86" s="54" t="s">
        <v>101</v>
      </c>
      <c r="BJ86" s="98">
        <f>BJ87+BJ117</f>
        <v>0</v>
      </c>
    </row>
    <row r="87" spans="2:64" s="100" customFormat="1" ht="25.9" customHeight="1" x14ac:dyDescent="0.25">
      <c r="B87" s="99"/>
      <c r="D87" s="101" t="s">
        <v>123</v>
      </c>
      <c r="E87" s="102" t="s">
        <v>124</v>
      </c>
      <c r="F87" s="102" t="s">
        <v>125</v>
      </c>
      <c r="J87" s="103">
        <f>J88+J91</f>
        <v>0</v>
      </c>
      <c r="L87" s="99"/>
      <c r="M87" s="104"/>
      <c r="N87" s="105"/>
      <c r="O87" s="105"/>
      <c r="P87" s="106">
        <f>P88+P91</f>
        <v>1477.6223589900001</v>
      </c>
      <c r="Q87" s="105"/>
      <c r="R87" s="106">
        <f>R88+R91</f>
        <v>10.549398870000001</v>
      </c>
      <c r="S87" s="105"/>
      <c r="T87" s="107">
        <f>T88+T91</f>
        <v>119.69999999999999</v>
      </c>
      <c r="AQ87" s="101" t="s">
        <v>42</v>
      </c>
      <c r="AS87" s="108" t="s">
        <v>123</v>
      </c>
      <c r="AT87" s="108" t="s">
        <v>39</v>
      </c>
      <c r="AX87" s="101" t="s">
        <v>126</v>
      </c>
      <c r="BJ87" s="109">
        <f>BJ88+BJ91</f>
        <v>0</v>
      </c>
    </row>
    <row r="88" spans="2:64" s="100" customFormat="1" ht="22.9" customHeight="1" x14ac:dyDescent="0.25">
      <c r="B88" s="99"/>
      <c r="D88" s="101" t="s">
        <v>123</v>
      </c>
      <c r="E88" s="110" t="s">
        <v>127</v>
      </c>
      <c r="F88" s="110" t="s">
        <v>128</v>
      </c>
      <c r="J88" s="111">
        <f>BJ88</f>
        <v>0</v>
      </c>
      <c r="L88" s="99"/>
      <c r="M88" s="104"/>
      <c r="N88" s="105"/>
      <c r="O88" s="105"/>
      <c r="P88" s="106">
        <f>SUM(P89:P90)</f>
        <v>219.16810179000001</v>
      </c>
      <c r="Q88" s="105"/>
      <c r="R88" s="106">
        <f>SUM(R89:R90)</f>
        <v>10.549398870000001</v>
      </c>
      <c r="S88" s="105"/>
      <c r="T88" s="107">
        <f>SUM(T89:T90)</f>
        <v>0</v>
      </c>
      <c r="AQ88" s="101" t="s">
        <v>42</v>
      </c>
      <c r="AS88" s="108" t="s">
        <v>123</v>
      </c>
      <c r="AT88" s="108" t="s">
        <v>42</v>
      </c>
      <c r="AX88" s="101" t="s">
        <v>126</v>
      </c>
      <c r="BJ88" s="109">
        <f>SUM(BJ89:BJ90)</f>
        <v>0</v>
      </c>
    </row>
    <row r="89" spans="2:64" s="2" customFormat="1" ht="16.5" customHeight="1" x14ac:dyDescent="0.25">
      <c r="B89" s="112"/>
      <c r="C89" s="113" t="s">
        <v>42</v>
      </c>
      <c r="D89" s="113" t="s">
        <v>129</v>
      </c>
      <c r="E89" s="114" t="s">
        <v>130</v>
      </c>
      <c r="F89" s="115" t="s">
        <v>131</v>
      </c>
      <c r="G89" s="116" t="s">
        <v>89</v>
      </c>
      <c r="H89" s="117">
        <f>163*1.1*0.1*1.15</f>
        <v>20.619500000000002</v>
      </c>
      <c r="I89" s="117"/>
      <c r="J89" s="117">
        <f>ROUND(I89*H89,3)</f>
        <v>0</v>
      </c>
      <c r="K89" s="115" t="s">
        <v>9</v>
      </c>
      <c r="L89" s="59"/>
      <c r="M89" s="118" t="s">
        <v>9</v>
      </c>
      <c r="N89" s="119" t="s">
        <v>27</v>
      </c>
      <c r="O89" s="120">
        <v>0.42921999999999999</v>
      </c>
      <c r="P89" s="120">
        <f>O89*H89</f>
        <v>8.8503017900000014</v>
      </c>
      <c r="Q89" s="120">
        <v>2.0660000000000001E-2</v>
      </c>
      <c r="R89" s="120">
        <f>Q89*H89</f>
        <v>0.42599887000000008</v>
      </c>
      <c r="S89" s="120">
        <v>0</v>
      </c>
      <c r="T89" s="121">
        <f>S89*H89</f>
        <v>0</v>
      </c>
      <c r="AQ89" s="54" t="s">
        <v>132</v>
      </c>
      <c r="AS89" s="54" t="s">
        <v>129</v>
      </c>
      <c r="AT89" s="54" t="s">
        <v>88</v>
      </c>
      <c r="AX89" s="54" t="s">
        <v>126</v>
      </c>
      <c r="BD89" s="65">
        <f>IF(N89="základná",J89,0)</f>
        <v>0</v>
      </c>
      <c r="BE89" s="65">
        <f>IF(N89="znížená",J89,0)</f>
        <v>0</v>
      </c>
      <c r="BF89" s="65">
        <f>IF(N89="zákl. prenesená",J89,0)</f>
        <v>0</v>
      </c>
      <c r="BG89" s="65">
        <f>IF(N89="zníž. prenesená",J89,0)</f>
        <v>0</v>
      </c>
      <c r="BH89" s="65">
        <f>IF(N89="nulová",J89,0)</f>
        <v>0</v>
      </c>
      <c r="BI89" s="54" t="s">
        <v>88</v>
      </c>
      <c r="BJ89" s="109">
        <f>ROUND(I89*H89,3)</f>
        <v>0</v>
      </c>
      <c r="BK89" s="54" t="s">
        <v>132</v>
      </c>
      <c r="BL89" s="54" t="s">
        <v>133</v>
      </c>
    </row>
    <row r="90" spans="2:64" s="2" customFormat="1" ht="16.5" customHeight="1" x14ac:dyDescent="0.25">
      <c r="B90" s="112"/>
      <c r="C90" s="113" t="s">
        <v>88</v>
      </c>
      <c r="D90" s="113" t="s">
        <v>129</v>
      </c>
      <c r="E90" s="114" t="s">
        <v>134</v>
      </c>
      <c r="F90" s="115" t="s">
        <v>135</v>
      </c>
      <c r="G90" s="116" t="s">
        <v>136</v>
      </c>
      <c r="H90" s="117">
        <v>490</v>
      </c>
      <c r="I90" s="117"/>
      <c r="J90" s="117">
        <f>ROUND(I90*H90,3)</f>
        <v>0</v>
      </c>
      <c r="K90" s="115" t="s">
        <v>9</v>
      </c>
      <c r="L90" s="59"/>
      <c r="M90" s="118" t="s">
        <v>9</v>
      </c>
      <c r="N90" s="119" t="s">
        <v>27</v>
      </c>
      <c r="O90" s="120">
        <v>0.42921999999999999</v>
      </c>
      <c r="P90" s="120">
        <f>O90*H90</f>
        <v>210.31780000000001</v>
      </c>
      <c r="Q90" s="120">
        <v>2.0660000000000001E-2</v>
      </c>
      <c r="R90" s="120">
        <f>Q90*H90</f>
        <v>10.1234</v>
      </c>
      <c r="S90" s="120">
        <v>0</v>
      </c>
      <c r="T90" s="121">
        <f>S90*H90</f>
        <v>0</v>
      </c>
      <c r="AQ90" s="54" t="s">
        <v>132</v>
      </c>
      <c r="AS90" s="54" t="s">
        <v>129</v>
      </c>
      <c r="AT90" s="54" t="s">
        <v>88</v>
      </c>
      <c r="AX90" s="54" t="s">
        <v>126</v>
      </c>
      <c r="BD90" s="65">
        <f>IF(N90="základná",J90,0)</f>
        <v>0</v>
      </c>
      <c r="BE90" s="65">
        <f>IF(N90="znížená",J90,0)</f>
        <v>0</v>
      </c>
      <c r="BF90" s="65">
        <f>IF(N90="zákl. prenesená",J90,0)</f>
        <v>0</v>
      </c>
      <c r="BG90" s="65">
        <f>IF(N90="zníž. prenesená",J90,0)</f>
        <v>0</v>
      </c>
      <c r="BH90" s="65">
        <f>IF(N90="nulová",J90,0)</f>
        <v>0</v>
      </c>
      <c r="BI90" s="54" t="s">
        <v>88</v>
      </c>
      <c r="BJ90" s="109">
        <f>ROUND(I90*H90,3)</f>
        <v>0</v>
      </c>
      <c r="BK90" s="54" t="s">
        <v>132</v>
      </c>
      <c r="BL90" s="54" t="s">
        <v>137</v>
      </c>
    </row>
    <row r="91" spans="2:64" s="100" customFormat="1" ht="22.9" customHeight="1" x14ac:dyDescent="0.25">
      <c r="B91" s="99"/>
      <c r="D91" s="101" t="s">
        <v>123</v>
      </c>
      <c r="E91" s="110" t="s">
        <v>138</v>
      </c>
      <c r="F91" s="110" t="s">
        <v>139</v>
      </c>
      <c r="J91" s="111">
        <f>SUM(J92:J115)</f>
        <v>0</v>
      </c>
      <c r="L91" s="99"/>
      <c r="M91" s="104"/>
      <c r="N91" s="105"/>
      <c r="O91" s="105"/>
      <c r="P91" s="106">
        <f>SUM(P92:P116)</f>
        <v>1258.4542572</v>
      </c>
      <c r="Q91" s="105"/>
      <c r="R91" s="106">
        <f>SUM(R92:R116)</f>
        <v>0</v>
      </c>
      <c r="S91" s="105"/>
      <c r="T91" s="107">
        <f>SUM(T92:T116)</f>
        <v>119.69999999999999</v>
      </c>
      <c r="AQ91" s="101" t="s">
        <v>42</v>
      </c>
      <c r="AS91" s="108" t="s">
        <v>123</v>
      </c>
      <c r="AT91" s="108" t="s">
        <v>42</v>
      </c>
      <c r="AX91" s="101" t="s">
        <v>126</v>
      </c>
      <c r="BJ91" s="109">
        <f>SUM(BJ92:BJ116)</f>
        <v>0</v>
      </c>
    </row>
    <row r="92" spans="2:64" s="2" customFormat="1" ht="16.5" customHeight="1" x14ac:dyDescent="0.25">
      <c r="B92" s="112"/>
      <c r="C92" s="113" t="s">
        <v>140</v>
      </c>
      <c r="D92" s="113" t="s">
        <v>129</v>
      </c>
      <c r="E92" s="114" t="s">
        <v>141</v>
      </c>
      <c r="F92" s="115" t="s">
        <v>142</v>
      </c>
      <c r="G92" s="116" t="s">
        <v>136</v>
      </c>
      <c r="H92" s="117">
        <f>2527+133</f>
        <v>2660</v>
      </c>
      <c r="I92" s="117"/>
      <c r="J92" s="117">
        <f>ROUND(I92*H92,3)</f>
        <v>0</v>
      </c>
      <c r="K92" s="115" t="s">
        <v>9</v>
      </c>
      <c r="L92" s="59"/>
      <c r="M92" s="118" t="s">
        <v>9</v>
      </c>
      <c r="N92" s="119" t="s">
        <v>27</v>
      </c>
      <c r="O92" s="120">
        <v>0.13400000000000001</v>
      </c>
      <c r="P92" s="120">
        <f>O92*H92</f>
        <v>356.44</v>
      </c>
      <c r="Q92" s="120">
        <v>0</v>
      </c>
      <c r="R92" s="120">
        <f>Q92*H92</f>
        <v>0</v>
      </c>
      <c r="S92" s="120">
        <v>4.4999999999999998E-2</v>
      </c>
      <c r="T92" s="121">
        <f>S92*H92</f>
        <v>119.69999999999999</v>
      </c>
      <c r="AQ92" s="54" t="s">
        <v>132</v>
      </c>
      <c r="AS92" s="54" t="s">
        <v>129</v>
      </c>
      <c r="AT92" s="54" t="s">
        <v>88</v>
      </c>
      <c r="AX92" s="54" t="s">
        <v>126</v>
      </c>
      <c r="BD92" s="65">
        <f>IF(N92="základná",J92,0)</f>
        <v>0</v>
      </c>
      <c r="BE92" s="65">
        <f>IF(N92="znížená",J92,0)</f>
        <v>0</v>
      </c>
      <c r="BF92" s="65">
        <f>IF(N92="zákl. prenesená",J92,0)</f>
        <v>0</v>
      </c>
      <c r="BG92" s="65">
        <f>IF(N92="zníž. prenesená",J92,0)</f>
        <v>0</v>
      </c>
      <c r="BH92" s="65">
        <f>IF(N92="nulová",J92,0)</f>
        <v>0</v>
      </c>
      <c r="BI92" s="54" t="s">
        <v>88</v>
      </c>
      <c r="BJ92" s="109">
        <f>ROUND(I92*H92,3)</f>
        <v>0</v>
      </c>
      <c r="BK92" s="54" t="s">
        <v>132</v>
      </c>
      <c r="BL92" s="54" t="s">
        <v>143</v>
      </c>
    </row>
    <row r="93" spans="2:64" s="2" customFormat="1" ht="16.5" customHeight="1" x14ac:dyDescent="0.25">
      <c r="B93" s="112"/>
      <c r="C93" s="113">
        <v>4</v>
      </c>
      <c r="D93" s="113"/>
      <c r="E93" s="114" t="s">
        <v>144</v>
      </c>
      <c r="F93" s="115" t="s">
        <v>145</v>
      </c>
      <c r="G93" s="116" t="s">
        <v>146</v>
      </c>
      <c r="H93" s="117">
        <f>H98+H107</f>
        <v>193.04290000000003</v>
      </c>
      <c r="I93" s="117"/>
      <c r="J93" s="117">
        <f>ROUND(I93*H93,3)</f>
        <v>0</v>
      </c>
      <c r="K93" s="115"/>
      <c r="L93" s="59"/>
      <c r="M93" s="118"/>
      <c r="N93" s="119"/>
      <c r="O93" s="120"/>
      <c r="P93" s="120"/>
      <c r="Q93" s="120"/>
      <c r="R93" s="120"/>
      <c r="S93" s="120"/>
      <c r="T93" s="121"/>
      <c r="AQ93" s="54"/>
      <c r="AS93" s="54"/>
      <c r="AT93" s="54"/>
      <c r="AX93" s="54"/>
      <c r="BD93" s="65"/>
      <c r="BE93" s="65"/>
      <c r="BF93" s="65"/>
      <c r="BG93" s="65"/>
      <c r="BH93" s="65"/>
      <c r="BI93" s="54"/>
      <c r="BJ93" s="109"/>
      <c r="BK93" s="54"/>
      <c r="BL93" s="54"/>
    </row>
    <row r="94" spans="2:64" s="2" customFormat="1" ht="16.5" customHeight="1" x14ac:dyDescent="0.25">
      <c r="B94" s="112"/>
      <c r="C94" s="113">
        <v>5</v>
      </c>
      <c r="D94" s="113"/>
      <c r="E94" s="114" t="s">
        <v>148</v>
      </c>
      <c r="F94" s="115" t="s">
        <v>149</v>
      </c>
      <c r="G94" s="116" t="s">
        <v>146</v>
      </c>
      <c r="H94" s="117">
        <f>H93*10</f>
        <v>1930.4290000000003</v>
      </c>
      <c r="I94" s="117"/>
      <c r="J94" s="117">
        <f t="shared" ref="J94:J96" si="0">ROUND(I94*H94,3)</f>
        <v>0</v>
      </c>
      <c r="K94" s="115"/>
      <c r="L94" s="59"/>
      <c r="M94" s="118"/>
      <c r="N94" s="119"/>
      <c r="O94" s="120"/>
      <c r="P94" s="120"/>
      <c r="Q94" s="120"/>
      <c r="R94" s="120"/>
      <c r="S94" s="120"/>
      <c r="T94" s="121"/>
      <c r="AQ94" s="54"/>
      <c r="AS94" s="54"/>
      <c r="AT94" s="54"/>
      <c r="AX94" s="54"/>
      <c r="BD94" s="65"/>
      <c r="BE94" s="65"/>
      <c r="BF94" s="65"/>
      <c r="BG94" s="65"/>
      <c r="BH94" s="65"/>
      <c r="BI94" s="54"/>
      <c r="BJ94" s="109"/>
      <c r="BK94" s="54"/>
      <c r="BL94" s="54"/>
    </row>
    <row r="95" spans="2:64" s="2" customFormat="1" ht="16.5" customHeight="1" x14ac:dyDescent="0.25">
      <c r="B95" s="112"/>
      <c r="C95" s="113"/>
      <c r="D95" s="113"/>
      <c r="E95" s="114"/>
      <c r="F95" s="115" t="s">
        <v>150</v>
      </c>
      <c r="G95" s="192"/>
      <c r="H95" s="117"/>
      <c r="I95" s="117"/>
      <c r="J95" s="117">
        <f t="shared" si="0"/>
        <v>0</v>
      </c>
      <c r="K95" s="115"/>
      <c r="L95" s="59"/>
      <c r="M95" s="118"/>
      <c r="N95" s="119"/>
      <c r="O95" s="120"/>
      <c r="P95" s="120"/>
      <c r="Q95" s="120"/>
      <c r="R95" s="120"/>
      <c r="S95" s="120"/>
      <c r="T95" s="121"/>
      <c r="AQ95" s="54"/>
      <c r="AS95" s="54"/>
      <c r="AT95" s="54"/>
      <c r="AX95" s="54"/>
      <c r="BD95" s="65"/>
      <c r="BE95" s="65"/>
      <c r="BF95" s="65"/>
      <c r="BG95" s="65"/>
      <c r="BH95" s="65"/>
      <c r="BI95" s="54"/>
      <c r="BJ95" s="109"/>
      <c r="BK95" s="54"/>
      <c r="BL95" s="54"/>
    </row>
    <row r="96" spans="2:64" s="2" customFormat="1" ht="16.5" customHeight="1" x14ac:dyDescent="0.25">
      <c r="B96" s="112"/>
      <c r="C96" s="113">
        <v>6</v>
      </c>
      <c r="D96" s="113" t="s">
        <v>129</v>
      </c>
      <c r="E96" s="114" t="s">
        <v>151</v>
      </c>
      <c r="F96" s="115" t="s">
        <v>152</v>
      </c>
      <c r="G96" s="192" t="s">
        <v>153</v>
      </c>
      <c r="H96" s="117">
        <v>1</v>
      </c>
      <c r="I96" s="117"/>
      <c r="J96" s="117">
        <f t="shared" si="0"/>
        <v>0</v>
      </c>
      <c r="K96" s="115" t="s">
        <v>9</v>
      </c>
      <c r="L96" s="59"/>
      <c r="M96" s="118" t="s">
        <v>9</v>
      </c>
      <c r="N96" s="119" t="s">
        <v>27</v>
      </c>
      <c r="O96" s="120">
        <v>0.89</v>
      </c>
      <c r="P96" s="120">
        <f>O96*H96</f>
        <v>0.89</v>
      </c>
      <c r="Q96" s="120">
        <v>0</v>
      </c>
      <c r="R96" s="120">
        <f>Q96*H96</f>
        <v>0</v>
      </c>
      <c r="S96" s="120">
        <v>0</v>
      </c>
      <c r="T96" s="121">
        <f>S96*H96</f>
        <v>0</v>
      </c>
      <c r="AQ96" s="54" t="s">
        <v>132</v>
      </c>
      <c r="AS96" s="54" t="s">
        <v>129</v>
      </c>
      <c r="AT96" s="54" t="s">
        <v>88</v>
      </c>
      <c r="AX96" s="54" t="s">
        <v>126</v>
      </c>
      <c r="BD96" s="65">
        <f>IF(N96="základná",J96,0)</f>
        <v>0</v>
      </c>
      <c r="BE96" s="65">
        <f>IF(N96="znížená",J96,0)</f>
        <v>0</v>
      </c>
      <c r="BF96" s="65">
        <f>IF(N96="zákl. prenesená",J96,0)</f>
        <v>0</v>
      </c>
      <c r="BG96" s="65">
        <f>IF(N96="zníž. prenesená",J96,0)</f>
        <v>0</v>
      </c>
      <c r="BH96" s="65">
        <f>IF(N96="nulová",J96,0)</f>
        <v>0</v>
      </c>
      <c r="BI96" s="54" t="s">
        <v>88</v>
      </c>
      <c r="BJ96" s="109">
        <f>ROUND(I96*H96,3)</f>
        <v>0</v>
      </c>
      <c r="BK96" s="54" t="s">
        <v>132</v>
      </c>
      <c r="BL96" s="54" t="s">
        <v>147</v>
      </c>
    </row>
    <row r="97" spans="2:64" s="2" customFormat="1" x14ac:dyDescent="0.25">
      <c r="B97" s="59"/>
      <c r="D97" s="122" t="s">
        <v>161</v>
      </c>
      <c r="E97" s="54" t="s">
        <v>9</v>
      </c>
      <c r="F97" s="74" t="s">
        <v>173</v>
      </c>
      <c r="H97" s="109"/>
      <c r="L97" s="59"/>
      <c r="M97" s="123"/>
      <c r="N97" s="124"/>
      <c r="O97" s="124"/>
      <c r="P97" s="124"/>
      <c r="Q97" s="124"/>
      <c r="R97" s="124"/>
      <c r="S97" s="124"/>
      <c r="T97" s="125"/>
      <c r="AS97" s="54" t="s">
        <v>161</v>
      </c>
      <c r="AT97" s="54" t="s">
        <v>88</v>
      </c>
      <c r="AU97" s="2" t="s">
        <v>88</v>
      </c>
      <c r="AV97" s="2" t="s">
        <v>163</v>
      </c>
      <c r="AW97" s="2" t="s">
        <v>42</v>
      </c>
      <c r="AX97" s="54" t="s">
        <v>126</v>
      </c>
    </row>
    <row r="98" spans="2:64" s="2" customFormat="1" ht="16.5" customHeight="1" x14ac:dyDescent="0.25">
      <c r="B98" s="112"/>
      <c r="C98" s="113">
        <v>12</v>
      </c>
      <c r="D98" s="113" t="s">
        <v>129</v>
      </c>
      <c r="E98" s="114" t="s">
        <v>174</v>
      </c>
      <c r="F98" s="115" t="s">
        <v>175</v>
      </c>
      <c r="G98" s="116" t="s">
        <v>146</v>
      </c>
      <c r="H98" s="117">
        <f>103.68+H89*2.2</f>
        <v>149.04290000000003</v>
      </c>
      <c r="I98" s="117"/>
      <c r="J98" s="117">
        <f>ROUND(I98*H98,3)</f>
        <v>0</v>
      </c>
      <c r="K98" s="115" t="s">
        <v>156</v>
      </c>
      <c r="L98" s="59"/>
      <c r="M98" s="118" t="s">
        <v>9</v>
      </c>
      <c r="N98" s="119" t="s">
        <v>27</v>
      </c>
      <c r="O98" s="120">
        <v>0</v>
      </c>
      <c r="P98" s="120">
        <f>O98*H98</f>
        <v>0</v>
      </c>
      <c r="Q98" s="120">
        <v>0</v>
      </c>
      <c r="R98" s="120">
        <f>Q98*H98</f>
        <v>0</v>
      </c>
      <c r="S98" s="120">
        <v>0</v>
      </c>
      <c r="T98" s="121">
        <f>S98*H98</f>
        <v>0</v>
      </c>
      <c r="AQ98" s="54" t="s">
        <v>132</v>
      </c>
      <c r="AS98" s="54" t="s">
        <v>129</v>
      </c>
      <c r="AT98" s="54" t="s">
        <v>88</v>
      </c>
      <c r="AX98" s="54" t="s">
        <v>126</v>
      </c>
      <c r="BD98" s="65">
        <f>IF(N98="základná",J98,0)</f>
        <v>0</v>
      </c>
      <c r="BE98" s="65">
        <f>IF(N98="znížená",J98,0)</f>
        <v>0</v>
      </c>
      <c r="BF98" s="65">
        <f>IF(N98="zákl. prenesená",J98,0)</f>
        <v>0</v>
      </c>
      <c r="BG98" s="65">
        <f>IF(N98="zníž. prenesená",J98,0)</f>
        <v>0</v>
      </c>
      <c r="BH98" s="65">
        <f>IF(N98="nulová",J98,0)</f>
        <v>0</v>
      </c>
      <c r="BI98" s="54" t="s">
        <v>88</v>
      </c>
      <c r="BJ98" s="109">
        <f>ROUND(I98*H98,3)</f>
        <v>0</v>
      </c>
      <c r="BK98" s="54" t="s">
        <v>132</v>
      </c>
      <c r="BL98" s="54" t="s">
        <v>176</v>
      </c>
    </row>
    <row r="99" spans="2:64" s="2" customFormat="1" ht="16.5" customHeight="1" x14ac:dyDescent="0.25">
      <c r="B99" s="112"/>
      <c r="C99" s="113">
        <v>13</v>
      </c>
      <c r="D99" s="113" t="s">
        <v>129</v>
      </c>
      <c r="E99" s="114" t="s">
        <v>158</v>
      </c>
      <c r="F99" s="115" t="s">
        <v>159</v>
      </c>
      <c r="G99" s="116" t="s">
        <v>146</v>
      </c>
      <c r="H99" s="117">
        <f>H98</f>
        <v>149.04290000000003</v>
      </c>
      <c r="I99" s="117"/>
      <c r="J99" s="117">
        <f>ROUND(I99*H99,3)</f>
        <v>0</v>
      </c>
      <c r="K99" s="115" t="s">
        <v>9</v>
      </c>
      <c r="L99" s="59"/>
      <c r="M99" s="118" t="s">
        <v>9</v>
      </c>
      <c r="N99" s="119" t="s">
        <v>27</v>
      </c>
      <c r="O99" s="120">
        <v>0.88200000000000001</v>
      </c>
      <c r="P99" s="120">
        <f>O99*H99</f>
        <v>131.45583780000004</v>
      </c>
      <c r="Q99" s="120">
        <v>0</v>
      </c>
      <c r="R99" s="120">
        <f>Q99*H99</f>
        <v>0</v>
      </c>
      <c r="S99" s="120">
        <v>0</v>
      </c>
      <c r="T99" s="121">
        <f>S99*H99</f>
        <v>0</v>
      </c>
      <c r="AQ99" s="54" t="s">
        <v>132</v>
      </c>
      <c r="AS99" s="54" t="s">
        <v>129</v>
      </c>
      <c r="AT99" s="54" t="s">
        <v>88</v>
      </c>
      <c r="AX99" s="54" t="s">
        <v>126</v>
      </c>
      <c r="BD99" s="65">
        <f>IF(N99="základná",J99,0)</f>
        <v>0</v>
      </c>
      <c r="BE99" s="65">
        <f>IF(N99="znížená",J99,0)</f>
        <v>0</v>
      </c>
      <c r="BF99" s="65">
        <f>IF(N99="zákl. prenesená",J99,0)</f>
        <v>0</v>
      </c>
      <c r="BG99" s="65">
        <f>IF(N99="zníž. prenesená",J99,0)</f>
        <v>0</v>
      </c>
      <c r="BH99" s="65">
        <f>IF(N99="nulová",J99,0)</f>
        <v>0</v>
      </c>
      <c r="BI99" s="54" t="s">
        <v>88</v>
      </c>
      <c r="BJ99" s="109">
        <f>ROUND(I99*H99,3)</f>
        <v>0</v>
      </c>
      <c r="BK99" s="54" t="s">
        <v>132</v>
      </c>
      <c r="BL99" s="54" t="s">
        <v>177</v>
      </c>
    </row>
    <row r="100" spans="2:64" s="2" customFormat="1" x14ac:dyDescent="0.25">
      <c r="B100" s="59"/>
      <c r="D100" s="122" t="s">
        <v>161</v>
      </c>
      <c r="E100" s="54" t="s">
        <v>9</v>
      </c>
      <c r="F100" s="74" t="s">
        <v>615</v>
      </c>
      <c r="H100" s="109"/>
      <c r="L100" s="59"/>
      <c r="M100" s="123"/>
      <c r="N100" s="124"/>
      <c r="O100" s="124"/>
      <c r="P100" s="124"/>
      <c r="Q100" s="124"/>
      <c r="R100" s="124"/>
      <c r="S100" s="124"/>
      <c r="T100" s="125"/>
      <c r="AS100" s="54" t="s">
        <v>161</v>
      </c>
      <c r="AT100" s="54" t="s">
        <v>88</v>
      </c>
      <c r="AU100" s="2" t="s">
        <v>88</v>
      </c>
      <c r="AV100" s="2" t="s">
        <v>163</v>
      </c>
      <c r="AW100" s="2" t="s">
        <v>42</v>
      </c>
      <c r="AX100" s="54" t="s">
        <v>126</v>
      </c>
    </row>
    <row r="101" spans="2:64" s="2" customFormat="1" ht="16.5" customHeight="1" x14ac:dyDescent="0.25">
      <c r="B101" s="112"/>
      <c r="C101" s="113">
        <v>14</v>
      </c>
      <c r="D101" s="113" t="s">
        <v>129</v>
      </c>
      <c r="E101" s="114" t="s">
        <v>164</v>
      </c>
      <c r="F101" s="115" t="s">
        <v>165</v>
      </c>
      <c r="G101" s="116" t="s">
        <v>146</v>
      </c>
      <c r="H101" s="117">
        <f>H98*5</f>
        <v>745.21450000000016</v>
      </c>
      <c r="I101" s="117"/>
      <c r="J101" s="117">
        <f>ROUND(I101*H101,3)</f>
        <v>0</v>
      </c>
      <c r="K101" s="115" t="s">
        <v>156</v>
      </c>
      <c r="L101" s="59"/>
      <c r="M101" s="118" t="s">
        <v>9</v>
      </c>
      <c r="N101" s="119" t="s">
        <v>27</v>
      </c>
      <c r="O101" s="120">
        <v>0.61799999999999999</v>
      </c>
      <c r="P101" s="120">
        <f>O101*H101</f>
        <v>460.54256100000009</v>
      </c>
      <c r="Q101" s="120">
        <v>0</v>
      </c>
      <c r="R101" s="120">
        <f>Q101*H101</f>
        <v>0</v>
      </c>
      <c r="S101" s="120">
        <v>0</v>
      </c>
      <c r="T101" s="121">
        <f>S101*H101</f>
        <v>0</v>
      </c>
      <c r="AQ101" s="54" t="s">
        <v>132</v>
      </c>
      <c r="AS101" s="54" t="s">
        <v>129</v>
      </c>
      <c r="AT101" s="54" t="s">
        <v>88</v>
      </c>
      <c r="AX101" s="54" t="s">
        <v>126</v>
      </c>
      <c r="BD101" s="65">
        <f>IF(N101="základná",J101,0)</f>
        <v>0</v>
      </c>
      <c r="BE101" s="65">
        <f>IF(N101="znížená",J101,0)</f>
        <v>0</v>
      </c>
      <c r="BF101" s="65">
        <f>IF(N101="zákl. prenesená",J101,0)</f>
        <v>0</v>
      </c>
      <c r="BG101" s="65">
        <f>IF(N101="zníž. prenesená",J101,0)</f>
        <v>0</v>
      </c>
      <c r="BH101" s="65">
        <f>IF(N101="nulová",J101,0)</f>
        <v>0</v>
      </c>
      <c r="BI101" s="54" t="s">
        <v>88</v>
      </c>
      <c r="BJ101" s="109">
        <f>ROUND(I101*H101,3)</f>
        <v>0</v>
      </c>
      <c r="BK101" s="54" t="s">
        <v>132</v>
      </c>
      <c r="BL101" s="54" t="s">
        <v>178</v>
      </c>
    </row>
    <row r="102" spans="2:64" s="2" customFormat="1" x14ac:dyDescent="0.25">
      <c r="B102" s="59"/>
      <c r="D102" s="122" t="s">
        <v>161</v>
      </c>
      <c r="E102" s="54" t="s">
        <v>9</v>
      </c>
      <c r="F102" s="74" t="s">
        <v>663</v>
      </c>
      <c r="H102" s="109"/>
      <c r="L102" s="59"/>
      <c r="M102" s="123"/>
      <c r="N102" s="124"/>
      <c r="O102" s="124"/>
      <c r="P102" s="124"/>
      <c r="Q102" s="124"/>
      <c r="R102" s="124"/>
      <c r="S102" s="124"/>
      <c r="T102" s="125"/>
      <c r="AS102" s="54" t="s">
        <v>161</v>
      </c>
      <c r="AT102" s="54" t="s">
        <v>88</v>
      </c>
      <c r="AU102" s="2" t="s">
        <v>88</v>
      </c>
      <c r="AV102" s="2" t="s">
        <v>163</v>
      </c>
      <c r="AW102" s="2" t="s">
        <v>42</v>
      </c>
      <c r="AX102" s="54" t="s">
        <v>126</v>
      </c>
    </row>
    <row r="103" spans="2:64" s="2" customFormat="1" ht="16.5" customHeight="1" x14ac:dyDescent="0.25">
      <c r="B103" s="112"/>
      <c r="C103" s="113">
        <v>15</v>
      </c>
      <c r="D103" s="113" t="s">
        <v>129</v>
      </c>
      <c r="E103" s="114" t="s">
        <v>167</v>
      </c>
      <c r="F103" s="115" t="s">
        <v>168</v>
      </c>
      <c r="G103" s="116" t="s">
        <v>146</v>
      </c>
      <c r="H103" s="117">
        <f>H98</f>
        <v>149.04290000000003</v>
      </c>
      <c r="I103" s="117"/>
      <c r="J103" s="117">
        <f>ROUND(I103*H103,3)</f>
        <v>0</v>
      </c>
      <c r="K103" s="115" t="s">
        <v>156</v>
      </c>
      <c r="L103" s="59"/>
      <c r="M103" s="118" t="s">
        <v>9</v>
      </c>
      <c r="N103" s="119" t="s">
        <v>27</v>
      </c>
      <c r="O103" s="120">
        <v>0.59799999999999998</v>
      </c>
      <c r="P103" s="120">
        <f>O103*H103</f>
        <v>89.127654200000009</v>
      </c>
      <c r="Q103" s="120">
        <v>0</v>
      </c>
      <c r="R103" s="120">
        <f>Q103*H103</f>
        <v>0</v>
      </c>
      <c r="S103" s="120">
        <v>0</v>
      </c>
      <c r="T103" s="121">
        <f>S103*H103</f>
        <v>0</v>
      </c>
      <c r="AQ103" s="54" t="s">
        <v>132</v>
      </c>
      <c r="AS103" s="54" t="s">
        <v>129</v>
      </c>
      <c r="AT103" s="54" t="s">
        <v>88</v>
      </c>
      <c r="AX103" s="54" t="s">
        <v>126</v>
      </c>
      <c r="BD103" s="65">
        <f>IF(N103="základná",J103,0)</f>
        <v>0</v>
      </c>
      <c r="BE103" s="65">
        <f>IF(N103="znížená",J103,0)</f>
        <v>0</v>
      </c>
      <c r="BF103" s="65">
        <f>IF(N103="zákl. prenesená",J103,0)</f>
        <v>0</v>
      </c>
      <c r="BG103" s="65">
        <f>IF(N103="zníž. prenesená",J103,0)</f>
        <v>0</v>
      </c>
      <c r="BH103" s="65">
        <f>IF(N103="nulová",J103,0)</f>
        <v>0</v>
      </c>
      <c r="BI103" s="54" t="s">
        <v>88</v>
      </c>
      <c r="BJ103" s="109">
        <f>ROUND(I103*H103,3)</f>
        <v>0</v>
      </c>
      <c r="BK103" s="54" t="s">
        <v>132</v>
      </c>
      <c r="BL103" s="54" t="s">
        <v>179</v>
      </c>
    </row>
    <row r="104" spans="2:64" s="2" customFormat="1" x14ac:dyDescent="0.25">
      <c r="B104" s="59"/>
      <c r="D104" s="122" t="s">
        <v>161</v>
      </c>
      <c r="E104" s="54" t="s">
        <v>9</v>
      </c>
      <c r="F104" s="74" t="s">
        <v>615</v>
      </c>
      <c r="H104" s="109"/>
      <c r="L104" s="59"/>
      <c r="M104" s="123"/>
      <c r="N104" s="124"/>
      <c r="O104" s="124"/>
      <c r="P104" s="124"/>
      <c r="Q104" s="124"/>
      <c r="R104" s="124"/>
      <c r="S104" s="124"/>
      <c r="T104" s="125"/>
      <c r="AS104" s="54" t="s">
        <v>161</v>
      </c>
      <c r="AT104" s="54" t="s">
        <v>88</v>
      </c>
      <c r="AU104" s="2" t="s">
        <v>88</v>
      </c>
      <c r="AV104" s="2" t="s">
        <v>163</v>
      </c>
      <c r="AW104" s="2" t="s">
        <v>42</v>
      </c>
      <c r="AX104" s="54" t="s">
        <v>126</v>
      </c>
    </row>
    <row r="105" spans="2:64" s="2" customFormat="1" ht="16.5" customHeight="1" x14ac:dyDescent="0.25">
      <c r="B105" s="112"/>
      <c r="C105" s="113">
        <v>16</v>
      </c>
      <c r="D105" s="113" t="s">
        <v>129</v>
      </c>
      <c r="E105" s="114" t="s">
        <v>170</v>
      </c>
      <c r="F105" s="115" t="s">
        <v>171</v>
      </c>
      <c r="G105" s="116" t="s">
        <v>146</v>
      </c>
      <c r="H105" s="117">
        <f>H98*14</f>
        <v>2086.6006000000007</v>
      </c>
      <c r="I105" s="117"/>
      <c r="J105" s="117">
        <f>ROUND(I105*H105,3)</f>
        <v>0</v>
      </c>
      <c r="K105" s="115" t="s">
        <v>156</v>
      </c>
      <c r="L105" s="59"/>
      <c r="M105" s="118" t="s">
        <v>9</v>
      </c>
      <c r="N105" s="119" t="s">
        <v>27</v>
      </c>
      <c r="O105" s="120">
        <v>7.0000000000000001E-3</v>
      </c>
      <c r="P105" s="120">
        <f>O105*H105</f>
        <v>14.606204200000006</v>
      </c>
      <c r="Q105" s="120">
        <v>0</v>
      </c>
      <c r="R105" s="120">
        <f>Q105*H105</f>
        <v>0</v>
      </c>
      <c r="S105" s="120">
        <v>0</v>
      </c>
      <c r="T105" s="121">
        <f>S105*H105</f>
        <v>0</v>
      </c>
      <c r="AQ105" s="54" t="s">
        <v>132</v>
      </c>
      <c r="AS105" s="54" t="s">
        <v>129</v>
      </c>
      <c r="AT105" s="54" t="s">
        <v>88</v>
      </c>
      <c r="AX105" s="54" t="s">
        <v>126</v>
      </c>
      <c r="BD105" s="65">
        <f>IF(N105="základná",J105,0)</f>
        <v>0</v>
      </c>
      <c r="BE105" s="65">
        <f>IF(N105="znížená",J105,0)</f>
        <v>0</v>
      </c>
      <c r="BF105" s="65">
        <f>IF(N105="zákl. prenesená",J105,0)</f>
        <v>0</v>
      </c>
      <c r="BG105" s="65">
        <f>IF(N105="zníž. prenesená",J105,0)</f>
        <v>0</v>
      </c>
      <c r="BH105" s="65">
        <f>IF(N105="nulová",J105,0)</f>
        <v>0</v>
      </c>
      <c r="BI105" s="54" t="s">
        <v>88</v>
      </c>
      <c r="BJ105" s="109">
        <f>ROUND(I105*H105,3)</f>
        <v>0</v>
      </c>
      <c r="BK105" s="54" t="s">
        <v>132</v>
      </c>
      <c r="BL105" s="54" t="s">
        <v>180</v>
      </c>
    </row>
    <row r="106" spans="2:64" s="2" customFormat="1" x14ac:dyDescent="0.25">
      <c r="B106" s="59"/>
      <c r="D106" s="122" t="s">
        <v>161</v>
      </c>
      <c r="E106" s="54" t="s">
        <v>9</v>
      </c>
      <c r="F106" s="74" t="s">
        <v>620</v>
      </c>
      <c r="H106" s="109"/>
      <c r="L106" s="59"/>
      <c r="M106" s="123"/>
      <c r="N106" s="124"/>
      <c r="O106" s="124"/>
      <c r="P106" s="124"/>
      <c r="Q106" s="124"/>
      <c r="R106" s="124"/>
      <c r="S106" s="124"/>
      <c r="T106" s="125"/>
      <c r="AS106" s="54" t="s">
        <v>161</v>
      </c>
      <c r="AT106" s="54" t="s">
        <v>88</v>
      </c>
      <c r="AU106" s="2" t="s">
        <v>88</v>
      </c>
      <c r="AV106" s="2" t="s">
        <v>163</v>
      </c>
      <c r="AW106" s="2" t="s">
        <v>42</v>
      </c>
      <c r="AX106" s="54" t="s">
        <v>126</v>
      </c>
    </row>
    <row r="107" spans="2:64" s="2" customFormat="1" ht="16.5" customHeight="1" x14ac:dyDescent="0.25">
      <c r="B107" s="112"/>
      <c r="C107" s="113">
        <v>17</v>
      </c>
      <c r="D107" s="113" t="s">
        <v>129</v>
      </c>
      <c r="E107" s="114" t="s">
        <v>182</v>
      </c>
      <c r="F107" s="115" t="s">
        <v>183</v>
      </c>
      <c r="G107" s="116" t="s">
        <v>146</v>
      </c>
      <c r="H107" s="117">
        <v>44</v>
      </c>
      <c r="I107" s="117"/>
      <c r="J107" s="117">
        <f>ROUND(I107*H107,3)</f>
        <v>0</v>
      </c>
      <c r="K107" s="115" t="s">
        <v>156</v>
      </c>
      <c r="L107" s="59"/>
      <c r="M107" s="118" t="s">
        <v>9</v>
      </c>
      <c r="N107" s="119" t="s">
        <v>27</v>
      </c>
      <c r="O107" s="120">
        <v>0</v>
      </c>
      <c r="P107" s="120">
        <f>O107*H107</f>
        <v>0</v>
      </c>
      <c r="Q107" s="120">
        <v>0</v>
      </c>
      <c r="R107" s="120">
        <f>Q107*H107</f>
        <v>0</v>
      </c>
      <c r="S107" s="120">
        <v>0</v>
      </c>
      <c r="T107" s="121">
        <f>S107*H107</f>
        <v>0</v>
      </c>
      <c r="AQ107" s="54" t="s">
        <v>132</v>
      </c>
      <c r="AS107" s="54" t="s">
        <v>129</v>
      </c>
      <c r="AT107" s="54" t="s">
        <v>88</v>
      </c>
      <c r="AX107" s="54" t="s">
        <v>126</v>
      </c>
      <c r="BD107" s="65">
        <f>IF(N107="základná",J107,0)</f>
        <v>0</v>
      </c>
      <c r="BE107" s="65">
        <f>IF(N107="znížená",J107,0)</f>
        <v>0</v>
      </c>
      <c r="BF107" s="65">
        <f>IF(N107="zákl. prenesená",J107,0)</f>
        <v>0</v>
      </c>
      <c r="BG107" s="65">
        <f>IF(N107="zníž. prenesená",J107,0)</f>
        <v>0</v>
      </c>
      <c r="BH107" s="65">
        <f>IF(N107="nulová",J107,0)</f>
        <v>0</v>
      </c>
      <c r="BI107" s="54" t="s">
        <v>88</v>
      </c>
      <c r="BJ107" s="109">
        <f>ROUND(I107*H107,3)</f>
        <v>0</v>
      </c>
      <c r="BK107" s="54" t="s">
        <v>132</v>
      </c>
      <c r="BL107" s="54" t="s">
        <v>184</v>
      </c>
    </row>
    <row r="108" spans="2:64" s="2" customFormat="1" x14ac:dyDescent="0.25">
      <c r="B108" s="59"/>
      <c r="D108" s="122" t="s">
        <v>161</v>
      </c>
      <c r="E108" s="54" t="s">
        <v>90</v>
      </c>
      <c r="F108" s="74" t="s">
        <v>659</v>
      </c>
      <c r="H108" s="109">
        <v>44</v>
      </c>
      <c r="L108" s="59"/>
      <c r="M108" s="123"/>
      <c r="N108" s="124"/>
      <c r="O108" s="124"/>
      <c r="P108" s="124"/>
      <c r="Q108" s="124"/>
      <c r="R108" s="124"/>
      <c r="S108" s="124"/>
      <c r="T108" s="125"/>
      <c r="AS108" s="54" t="s">
        <v>161</v>
      </c>
      <c r="AT108" s="54" t="s">
        <v>88</v>
      </c>
      <c r="AU108" s="2" t="s">
        <v>88</v>
      </c>
      <c r="AV108" s="2" t="s">
        <v>163</v>
      </c>
      <c r="AW108" s="2" t="s">
        <v>42</v>
      </c>
      <c r="AX108" s="54" t="s">
        <v>126</v>
      </c>
    </row>
    <row r="109" spans="2:64" s="2" customFormat="1" ht="16.5" customHeight="1" x14ac:dyDescent="0.25">
      <c r="B109" s="112"/>
      <c r="C109" s="113">
        <v>18</v>
      </c>
      <c r="D109" s="113" t="s">
        <v>129</v>
      </c>
      <c r="E109" s="114" t="s">
        <v>158</v>
      </c>
      <c r="F109" s="115" t="s">
        <v>159</v>
      </c>
      <c r="G109" s="116" t="s">
        <v>146</v>
      </c>
      <c r="H109" s="117">
        <v>44</v>
      </c>
      <c r="I109" s="117"/>
      <c r="J109" s="117">
        <f>ROUND(I109*H109,3)</f>
        <v>0</v>
      </c>
      <c r="K109" s="115" t="s">
        <v>9</v>
      </c>
      <c r="L109" s="59"/>
      <c r="M109" s="118" t="s">
        <v>9</v>
      </c>
      <c r="N109" s="119" t="s">
        <v>27</v>
      </c>
      <c r="O109" s="120">
        <v>0.88200000000000001</v>
      </c>
      <c r="P109" s="120">
        <f>O109*H109</f>
        <v>38.808</v>
      </c>
      <c r="Q109" s="120">
        <v>0</v>
      </c>
      <c r="R109" s="120">
        <f>Q109*H109</f>
        <v>0</v>
      </c>
      <c r="S109" s="120">
        <v>0</v>
      </c>
      <c r="T109" s="121">
        <f>S109*H109</f>
        <v>0</v>
      </c>
      <c r="AQ109" s="54" t="s">
        <v>132</v>
      </c>
      <c r="AS109" s="54" t="s">
        <v>129</v>
      </c>
      <c r="AT109" s="54" t="s">
        <v>88</v>
      </c>
      <c r="AX109" s="54" t="s">
        <v>126</v>
      </c>
      <c r="BD109" s="65">
        <f>IF(N109="základná",J109,0)</f>
        <v>0</v>
      </c>
      <c r="BE109" s="65">
        <f>IF(N109="znížená",J109,0)</f>
        <v>0</v>
      </c>
      <c r="BF109" s="65">
        <f>IF(N109="zákl. prenesená",J109,0)</f>
        <v>0</v>
      </c>
      <c r="BG109" s="65">
        <f>IF(N109="zníž. prenesená",J109,0)</f>
        <v>0</v>
      </c>
      <c r="BH109" s="65">
        <f>IF(N109="nulová",J109,0)</f>
        <v>0</v>
      </c>
      <c r="BI109" s="54" t="s">
        <v>88</v>
      </c>
      <c r="BJ109" s="109">
        <f>ROUND(I109*H109,3)</f>
        <v>0</v>
      </c>
      <c r="BK109" s="54" t="s">
        <v>132</v>
      </c>
      <c r="BL109" s="54" t="s">
        <v>185</v>
      </c>
    </row>
    <row r="110" spans="2:64" s="2" customFormat="1" x14ac:dyDescent="0.25">
      <c r="B110" s="59"/>
      <c r="D110" s="122" t="s">
        <v>161</v>
      </c>
      <c r="E110" s="54" t="s">
        <v>9</v>
      </c>
      <c r="F110" s="74" t="s">
        <v>90</v>
      </c>
      <c r="H110" s="109">
        <v>44</v>
      </c>
      <c r="L110" s="59"/>
      <c r="M110" s="123"/>
      <c r="N110" s="124"/>
      <c r="O110" s="124"/>
      <c r="P110" s="124"/>
      <c r="Q110" s="124"/>
      <c r="R110" s="124"/>
      <c r="S110" s="124"/>
      <c r="T110" s="125"/>
      <c r="AS110" s="54" t="s">
        <v>161</v>
      </c>
      <c r="AT110" s="54" t="s">
        <v>88</v>
      </c>
      <c r="AU110" s="2" t="s">
        <v>88</v>
      </c>
      <c r="AV110" s="2" t="s">
        <v>163</v>
      </c>
      <c r="AW110" s="2" t="s">
        <v>42</v>
      </c>
      <c r="AX110" s="54" t="s">
        <v>126</v>
      </c>
    </row>
    <row r="111" spans="2:64" s="2" customFormat="1" ht="16.5" customHeight="1" x14ac:dyDescent="0.25">
      <c r="B111" s="112"/>
      <c r="C111" s="113">
        <v>19</v>
      </c>
      <c r="D111" s="113" t="s">
        <v>129</v>
      </c>
      <c r="E111" s="114" t="s">
        <v>164</v>
      </c>
      <c r="F111" s="115" t="s">
        <v>165</v>
      </c>
      <c r="G111" s="116" t="s">
        <v>146</v>
      </c>
      <c r="H111" s="117">
        <v>220</v>
      </c>
      <c r="I111" s="117"/>
      <c r="J111" s="117">
        <f>ROUND(I111*H111,3)</f>
        <v>0</v>
      </c>
      <c r="K111" s="115" t="s">
        <v>9</v>
      </c>
      <c r="L111" s="59"/>
      <c r="M111" s="118" t="s">
        <v>9</v>
      </c>
      <c r="N111" s="119" t="s">
        <v>27</v>
      </c>
      <c r="O111" s="120">
        <v>0.61799999999999999</v>
      </c>
      <c r="P111" s="120">
        <f>O111*H111</f>
        <v>135.96</v>
      </c>
      <c r="Q111" s="120">
        <v>0</v>
      </c>
      <c r="R111" s="120">
        <f>Q111*H111</f>
        <v>0</v>
      </c>
      <c r="S111" s="120">
        <v>0</v>
      </c>
      <c r="T111" s="121">
        <f>S111*H111</f>
        <v>0</v>
      </c>
      <c r="AQ111" s="54" t="s">
        <v>132</v>
      </c>
      <c r="AS111" s="54" t="s">
        <v>129</v>
      </c>
      <c r="AT111" s="54" t="s">
        <v>88</v>
      </c>
      <c r="AX111" s="54" t="s">
        <v>126</v>
      </c>
      <c r="BD111" s="65">
        <f>IF(N111="základná",J111,0)</f>
        <v>0</v>
      </c>
      <c r="BE111" s="65">
        <f>IF(N111="znížená",J111,0)</f>
        <v>0</v>
      </c>
      <c r="BF111" s="65">
        <f>IF(N111="zákl. prenesená",J111,0)</f>
        <v>0</v>
      </c>
      <c r="BG111" s="65">
        <f>IF(N111="zníž. prenesená",J111,0)</f>
        <v>0</v>
      </c>
      <c r="BH111" s="65">
        <f>IF(N111="nulová",J111,0)</f>
        <v>0</v>
      </c>
      <c r="BI111" s="54" t="s">
        <v>88</v>
      </c>
      <c r="BJ111" s="109">
        <f>ROUND(I111*H111,3)</f>
        <v>0</v>
      </c>
      <c r="BK111" s="54" t="s">
        <v>132</v>
      </c>
      <c r="BL111" s="54" t="s">
        <v>186</v>
      </c>
    </row>
    <row r="112" spans="2:64" s="2" customFormat="1" x14ac:dyDescent="0.25">
      <c r="B112" s="59"/>
      <c r="D112" s="122" t="s">
        <v>161</v>
      </c>
      <c r="E112" s="54" t="s">
        <v>9</v>
      </c>
      <c r="F112" s="74" t="s">
        <v>495</v>
      </c>
      <c r="H112" s="109">
        <v>220</v>
      </c>
      <c r="L112" s="59"/>
      <c r="M112" s="123"/>
      <c r="N112" s="124"/>
      <c r="O112" s="124"/>
      <c r="P112" s="124"/>
      <c r="Q112" s="124"/>
      <c r="R112" s="124"/>
      <c r="S112" s="124"/>
      <c r="T112" s="125"/>
      <c r="AS112" s="54" t="s">
        <v>161</v>
      </c>
      <c r="AT112" s="54" t="s">
        <v>88</v>
      </c>
      <c r="AU112" s="2" t="s">
        <v>88</v>
      </c>
      <c r="AV112" s="2" t="s">
        <v>163</v>
      </c>
      <c r="AW112" s="2" t="s">
        <v>42</v>
      </c>
      <c r="AX112" s="54" t="s">
        <v>126</v>
      </c>
    </row>
    <row r="113" spans="2:64" s="2" customFormat="1" ht="16.5" customHeight="1" x14ac:dyDescent="0.25">
      <c r="B113" s="112"/>
      <c r="C113" s="113">
        <v>20</v>
      </c>
      <c r="D113" s="113" t="s">
        <v>129</v>
      </c>
      <c r="E113" s="114" t="s">
        <v>167</v>
      </c>
      <c r="F113" s="115" t="s">
        <v>168</v>
      </c>
      <c r="G113" s="116" t="s">
        <v>146</v>
      </c>
      <c r="H113" s="117">
        <v>44</v>
      </c>
      <c r="I113" s="117"/>
      <c r="J113" s="117">
        <f>ROUND(I113*H113,3)</f>
        <v>0</v>
      </c>
      <c r="K113" s="115" t="s">
        <v>156</v>
      </c>
      <c r="L113" s="59"/>
      <c r="M113" s="118" t="s">
        <v>9</v>
      </c>
      <c r="N113" s="119" t="s">
        <v>27</v>
      </c>
      <c r="O113" s="120">
        <v>0.59799999999999998</v>
      </c>
      <c r="P113" s="120">
        <f>O113*H113</f>
        <v>26.311999999999998</v>
      </c>
      <c r="Q113" s="120">
        <v>0</v>
      </c>
      <c r="R113" s="120">
        <f>Q113*H113</f>
        <v>0</v>
      </c>
      <c r="S113" s="120">
        <v>0</v>
      </c>
      <c r="T113" s="121">
        <f>S113*H113</f>
        <v>0</v>
      </c>
      <c r="AQ113" s="54" t="s">
        <v>132</v>
      </c>
      <c r="AS113" s="54" t="s">
        <v>129</v>
      </c>
      <c r="AT113" s="54" t="s">
        <v>88</v>
      </c>
      <c r="AX113" s="54" t="s">
        <v>126</v>
      </c>
      <c r="BD113" s="65">
        <f>IF(N113="základná",J113,0)</f>
        <v>0</v>
      </c>
      <c r="BE113" s="65">
        <f>IF(N113="znížená",J113,0)</f>
        <v>0</v>
      </c>
      <c r="BF113" s="65">
        <f>IF(N113="zákl. prenesená",J113,0)</f>
        <v>0</v>
      </c>
      <c r="BG113" s="65">
        <f>IF(N113="zníž. prenesená",J113,0)</f>
        <v>0</v>
      </c>
      <c r="BH113" s="65">
        <f>IF(N113="nulová",J113,0)</f>
        <v>0</v>
      </c>
      <c r="BI113" s="54" t="s">
        <v>88</v>
      </c>
      <c r="BJ113" s="109">
        <f>ROUND(I113*H113,3)</f>
        <v>0</v>
      </c>
      <c r="BK113" s="54" t="s">
        <v>132</v>
      </c>
      <c r="BL113" s="54" t="s">
        <v>188</v>
      </c>
    </row>
    <row r="114" spans="2:64" s="2" customFormat="1" x14ac:dyDescent="0.25">
      <c r="B114" s="59"/>
      <c r="D114" s="122" t="s">
        <v>161</v>
      </c>
      <c r="E114" s="54" t="s">
        <v>9</v>
      </c>
      <c r="F114" s="74" t="s">
        <v>90</v>
      </c>
      <c r="H114" s="109">
        <v>44</v>
      </c>
      <c r="L114" s="59"/>
      <c r="M114" s="123"/>
      <c r="N114" s="124"/>
      <c r="O114" s="124"/>
      <c r="P114" s="124"/>
      <c r="Q114" s="124"/>
      <c r="R114" s="124"/>
      <c r="S114" s="124"/>
      <c r="T114" s="125"/>
      <c r="AS114" s="54" t="s">
        <v>161</v>
      </c>
      <c r="AT114" s="54" t="s">
        <v>88</v>
      </c>
      <c r="AU114" s="2" t="s">
        <v>88</v>
      </c>
      <c r="AV114" s="2" t="s">
        <v>163</v>
      </c>
      <c r="AW114" s="2" t="s">
        <v>42</v>
      </c>
      <c r="AX114" s="54" t="s">
        <v>126</v>
      </c>
    </row>
    <row r="115" spans="2:64" s="2" customFormat="1" ht="16.5" customHeight="1" x14ac:dyDescent="0.25">
      <c r="B115" s="112"/>
      <c r="C115" s="113">
        <v>21</v>
      </c>
      <c r="D115" s="113" t="s">
        <v>129</v>
      </c>
      <c r="E115" s="114" t="s">
        <v>170</v>
      </c>
      <c r="F115" s="115" t="s">
        <v>171</v>
      </c>
      <c r="G115" s="116" t="s">
        <v>146</v>
      </c>
      <c r="H115" s="117">
        <v>616</v>
      </c>
      <c r="I115" s="117"/>
      <c r="J115" s="117">
        <f>ROUND(I115*H115,3)</f>
        <v>0</v>
      </c>
      <c r="K115" s="115" t="s">
        <v>156</v>
      </c>
      <c r="L115" s="59"/>
      <c r="M115" s="118" t="s">
        <v>9</v>
      </c>
      <c r="N115" s="119" t="s">
        <v>27</v>
      </c>
      <c r="O115" s="120">
        <v>7.0000000000000001E-3</v>
      </c>
      <c r="P115" s="120">
        <f>O115*H115</f>
        <v>4.3120000000000003</v>
      </c>
      <c r="Q115" s="120">
        <v>0</v>
      </c>
      <c r="R115" s="120">
        <f>Q115*H115</f>
        <v>0</v>
      </c>
      <c r="S115" s="120">
        <v>0</v>
      </c>
      <c r="T115" s="121">
        <f>S115*H115</f>
        <v>0</v>
      </c>
      <c r="AQ115" s="54" t="s">
        <v>132</v>
      </c>
      <c r="AS115" s="54" t="s">
        <v>129</v>
      </c>
      <c r="AT115" s="54" t="s">
        <v>88</v>
      </c>
      <c r="AX115" s="54" t="s">
        <v>126</v>
      </c>
      <c r="BD115" s="65">
        <f>IF(N115="základná",J115,0)</f>
        <v>0</v>
      </c>
      <c r="BE115" s="65">
        <f>IF(N115="znížená",J115,0)</f>
        <v>0</v>
      </c>
      <c r="BF115" s="65">
        <f>IF(N115="zákl. prenesená",J115,0)</f>
        <v>0</v>
      </c>
      <c r="BG115" s="65">
        <f>IF(N115="zníž. prenesená",J115,0)</f>
        <v>0</v>
      </c>
      <c r="BH115" s="65">
        <f>IF(N115="nulová",J115,0)</f>
        <v>0</v>
      </c>
      <c r="BI115" s="54" t="s">
        <v>88</v>
      </c>
      <c r="BJ115" s="109">
        <f>ROUND(I115*H115,3)</f>
        <v>0</v>
      </c>
      <c r="BK115" s="54" t="s">
        <v>132</v>
      </c>
      <c r="BL115" s="54" t="s">
        <v>189</v>
      </c>
    </row>
    <row r="116" spans="2:64" s="2" customFormat="1" x14ac:dyDescent="0.25">
      <c r="B116" s="59"/>
      <c r="D116" s="122" t="s">
        <v>161</v>
      </c>
      <c r="E116" s="54" t="s">
        <v>9</v>
      </c>
      <c r="F116" s="74" t="s">
        <v>190</v>
      </c>
      <c r="H116" s="109">
        <v>616</v>
      </c>
      <c r="L116" s="59"/>
      <c r="M116" s="123"/>
      <c r="N116" s="124"/>
      <c r="O116" s="124"/>
      <c r="P116" s="124"/>
      <c r="Q116" s="124"/>
      <c r="R116" s="124"/>
      <c r="S116" s="124"/>
      <c r="T116" s="125"/>
      <c r="AS116" s="54" t="s">
        <v>161</v>
      </c>
      <c r="AT116" s="54" t="s">
        <v>88</v>
      </c>
      <c r="AU116" s="2" t="s">
        <v>88</v>
      </c>
      <c r="AV116" s="2" t="s">
        <v>163</v>
      </c>
      <c r="AW116" s="2" t="s">
        <v>42</v>
      </c>
      <c r="AX116" s="54" t="s">
        <v>126</v>
      </c>
    </row>
    <row r="117" spans="2:64" s="100" customFormat="1" ht="25.9" customHeight="1" x14ac:dyDescent="0.25">
      <c r="B117" s="99"/>
      <c r="D117" s="101" t="s">
        <v>123</v>
      </c>
      <c r="E117" s="102" t="s">
        <v>191</v>
      </c>
      <c r="F117" s="102" t="s">
        <v>192</v>
      </c>
      <c r="J117" s="103">
        <f>BJ117</f>
        <v>0</v>
      </c>
      <c r="L117" s="99"/>
      <c r="M117" s="104"/>
      <c r="N117" s="105"/>
      <c r="O117" s="105"/>
      <c r="P117" s="106">
        <f>P118+P127+P130</f>
        <v>2229.04918</v>
      </c>
      <c r="Q117" s="105"/>
      <c r="R117" s="106">
        <f>R118+R127+R130</f>
        <v>3.1521000000000003</v>
      </c>
      <c r="S117" s="105"/>
      <c r="T117" s="107">
        <f>T118+T127+T130</f>
        <v>55.73866000000001</v>
      </c>
      <c r="AQ117" s="101" t="s">
        <v>88</v>
      </c>
      <c r="AS117" s="108" t="s">
        <v>123</v>
      </c>
      <c r="AT117" s="108" t="s">
        <v>39</v>
      </c>
      <c r="AX117" s="101" t="s">
        <v>126</v>
      </c>
      <c r="BJ117" s="109">
        <f>BJ118+BJ127+BJ130</f>
        <v>0</v>
      </c>
    </row>
    <row r="118" spans="2:64" s="100" customFormat="1" ht="22.9" customHeight="1" x14ac:dyDescent="0.25">
      <c r="B118" s="99"/>
      <c r="D118" s="101" t="s">
        <v>123</v>
      </c>
      <c r="E118" s="110" t="s">
        <v>193</v>
      </c>
      <c r="F118" s="110" t="s">
        <v>194</v>
      </c>
      <c r="J118" s="111">
        <f>BJ118</f>
        <v>0</v>
      </c>
      <c r="L118" s="99"/>
      <c r="M118" s="104"/>
      <c r="N118" s="105"/>
      <c r="O118" s="105"/>
      <c r="P118" s="106">
        <f>SUM(P119:P126)</f>
        <v>2104.9637600000001</v>
      </c>
      <c r="Q118" s="105"/>
      <c r="R118" s="106">
        <f>SUM(R119:R126)</f>
        <v>3.1217000000000001</v>
      </c>
      <c r="S118" s="105"/>
      <c r="T118" s="107">
        <f>SUM(T119:T126)</f>
        <v>47.723160000000007</v>
      </c>
      <c r="AQ118" s="101" t="s">
        <v>88</v>
      </c>
      <c r="AS118" s="108" t="s">
        <v>123</v>
      </c>
      <c r="AT118" s="108" t="s">
        <v>42</v>
      </c>
      <c r="AX118" s="101" t="s">
        <v>126</v>
      </c>
      <c r="BJ118" s="109">
        <f>SUM(BJ119:BJ126)</f>
        <v>0</v>
      </c>
    </row>
    <row r="119" spans="2:64" s="2" customFormat="1" ht="16.5" customHeight="1" x14ac:dyDescent="0.25">
      <c r="B119" s="112"/>
      <c r="C119" s="113">
        <v>22</v>
      </c>
      <c r="D119" s="113" t="s">
        <v>129</v>
      </c>
      <c r="E119" s="114" t="s">
        <v>195</v>
      </c>
      <c r="F119" s="115" t="s">
        <v>196</v>
      </c>
      <c r="G119" s="116" t="s">
        <v>136</v>
      </c>
      <c r="H119" s="117">
        <f>3017*2+133</f>
        <v>6167</v>
      </c>
      <c r="I119" s="117"/>
      <c r="J119" s="117">
        <f t="shared" ref="J119:J126" si="1">ROUND(I119*H119,3)</f>
        <v>0</v>
      </c>
      <c r="K119" s="115" t="s">
        <v>156</v>
      </c>
      <c r="L119" s="59"/>
      <c r="M119" s="118" t="s">
        <v>9</v>
      </c>
      <c r="N119" s="119" t="s">
        <v>27</v>
      </c>
      <c r="O119" s="120">
        <v>0.05</v>
      </c>
      <c r="P119" s="120">
        <f t="shared" ref="P119:P126" si="2">O119*H119</f>
        <v>308.35000000000002</v>
      </c>
      <c r="Q119" s="120">
        <v>0</v>
      </c>
      <c r="R119" s="120">
        <f t="shared" ref="R119:R126" si="3">Q119*H119</f>
        <v>0</v>
      </c>
      <c r="S119" s="120">
        <v>6.0000000000000001E-3</v>
      </c>
      <c r="T119" s="121">
        <f t="shared" ref="T119:T126" si="4">S119*H119</f>
        <v>37.002000000000002</v>
      </c>
      <c r="AQ119" s="54" t="s">
        <v>197</v>
      </c>
      <c r="AS119" s="54" t="s">
        <v>129</v>
      </c>
      <c r="AT119" s="54" t="s">
        <v>88</v>
      </c>
      <c r="AX119" s="54" t="s">
        <v>126</v>
      </c>
      <c r="BD119" s="65">
        <f t="shared" ref="BD119:BD126" si="5">IF(N119="základná",J119,0)</f>
        <v>0</v>
      </c>
      <c r="BE119" s="65">
        <f t="shared" ref="BE119:BE126" si="6">IF(N119="znížená",J119,0)</f>
        <v>0</v>
      </c>
      <c r="BF119" s="65">
        <f t="shared" ref="BF119:BF126" si="7">IF(N119="zákl. prenesená",J119,0)</f>
        <v>0</v>
      </c>
      <c r="BG119" s="65">
        <f t="shared" ref="BG119:BG126" si="8">IF(N119="zníž. prenesená",J119,0)</f>
        <v>0</v>
      </c>
      <c r="BH119" s="65">
        <f t="shared" ref="BH119:BH126" si="9">IF(N119="nulová",J119,0)</f>
        <v>0</v>
      </c>
      <c r="BI119" s="54" t="s">
        <v>88</v>
      </c>
      <c r="BJ119" s="109">
        <f t="shared" ref="BJ119:BJ126" si="10">ROUND(I119*H119,3)</f>
        <v>0</v>
      </c>
      <c r="BK119" s="54" t="s">
        <v>197</v>
      </c>
      <c r="BL119" s="54" t="s">
        <v>198</v>
      </c>
    </row>
    <row r="120" spans="2:64" s="2" customFormat="1" ht="16.5" customHeight="1" x14ac:dyDescent="0.25">
      <c r="B120" s="112"/>
      <c r="C120" s="113">
        <v>23</v>
      </c>
      <c r="D120" s="113" t="s">
        <v>129</v>
      </c>
      <c r="E120" s="114" t="s">
        <v>199</v>
      </c>
      <c r="F120" s="115" t="s">
        <v>200</v>
      </c>
      <c r="G120" s="116" t="s">
        <v>136</v>
      </c>
      <c r="H120" s="117">
        <f>2527+133+3017</f>
        <v>5677</v>
      </c>
      <c r="I120" s="117"/>
      <c r="J120" s="117">
        <f t="shared" si="1"/>
        <v>0</v>
      </c>
      <c r="K120" s="115" t="s">
        <v>9</v>
      </c>
      <c r="L120" s="59"/>
      <c r="M120" s="118" t="s">
        <v>9</v>
      </c>
      <c r="N120" s="119" t="s">
        <v>27</v>
      </c>
      <c r="O120" s="120">
        <v>2.7E-2</v>
      </c>
      <c r="P120" s="120">
        <f t="shared" si="2"/>
        <v>153.279</v>
      </c>
      <c r="Q120" s="120">
        <v>0</v>
      </c>
      <c r="R120" s="120">
        <f t="shared" si="3"/>
        <v>0</v>
      </c>
      <c r="S120" s="120">
        <v>0</v>
      </c>
      <c r="T120" s="121">
        <f t="shared" si="4"/>
        <v>0</v>
      </c>
      <c r="AQ120" s="54" t="s">
        <v>197</v>
      </c>
      <c r="AS120" s="54" t="s">
        <v>129</v>
      </c>
      <c r="AT120" s="54" t="s">
        <v>88</v>
      </c>
      <c r="AX120" s="54" t="s">
        <v>126</v>
      </c>
      <c r="BD120" s="65">
        <f t="shared" si="5"/>
        <v>0</v>
      </c>
      <c r="BE120" s="65">
        <f t="shared" si="6"/>
        <v>0</v>
      </c>
      <c r="BF120" s="65">
        <f t="shared" si="7"/>
        <v>0</v>
      </c>
      <c r="BG120" s="65">
        <f t="shared" si="8"/>
        <v>0</v>
      </c>
      <c r="BH120" s="65">
        <f t="shared" si="9"/>
        <v>0</v>
      </c>
      <c r="BI120" s="54" t="s">
        <v>88</v>
      </c>
      <c r="BJ120" s="109">
        <f t="shared" si="10"/>
        <v>0</v>
      </c>
      <c r="BK120" s="54" t="s">
        <v>197</v>
      </c>
      <c r="BL120" s="54" t="s">
        <v>201</v>
      </c>
    </row>
    <row r="121" spans="2:64" s="2" customFormat="1" ht="16.5" customHeight="1" x14ac:dyDescent="0.25">
      <c r="B121" s="112"/>
      <c r="C121" s="113">
        <v>24</v>
      </c>
      <c r="D121" s="113" t="s">
        <v>129</v>
      </c>
      <c r="E121" s="114" t="s">
        <v>207</v>
      </c>
      <c r="F121" s="115" t="s">
        <v>208</v>
      </c>
      <c r="G121" s="116" t="s">
        <v>136</v>
      </c>
      <c r="H121" s="117">
        <v>65</v>
      </c>
      <c r="I121" s="117"/>
      <c r="J121" s="117">
        <f t="shared" si="1"/>
        <v>0</v>
      </c>
      <c r="K121" s="115" t="s">
        <v>9</v>
      </c>
      <c r="L121" s="59"/>
      <c r="M121" s="118" t="s">
        <v>9</v>
      </c>
      <c r="N121" s="119" t="s">
        <v>27</v>
      </c>
      <c r="O121" s="120">
        <v>0.05</v>
      </c>
      <c r="P121" s="120">
        <f t="shared" si="2"/>
        <v>3.25</v>
      </c>
      <c r="Q121" s="120">
        <v>0</v>
      </c>
      <c r="R121" s="120">
        <f t="shared" si="3"/>
        <v>0</v>
      </c>
      <c r="S121" s="120">
        <v>6.0000000000000001E-3</v>
      </c>
      <c r="T121" s="121">
        <f t="shared" si="4"/>
        <v>0.39</v>
      </c>
      <c r="AQ121" s="54" t="s">
        <v>197</v>
      </c>
      <c r="AS121" s="54" t="s">
        <v>129</v>
      </c>
      <c r="AT121" s="54" t="s">
        <v>88</v>
      </c>
      <c r="AX121" s="54" t="s">
        <v>126</v>
      </c>
      <c r="BD121" s="65">
        <f t="shared" si="5"/>
        <v>0</v>
      </c>
      <c r="BE121" s="65">
        <f t="shared" si="6"/>
        <v>0</v>
      </c>
      <c r="BF121" s="65">
        <f t="shared" si="7"/>
        <v>0</v>
      </c>
      <c r="BG121" s="65">
        <f t="shared" si="8"/>
        <v>0</v>
      </c>
      <c r="BH121" s="65">
        <f t="shared" si="9"/>
        <v>0</v>
      </c>
      <c r="BI121" s="54" t="s">
        <v>88</v>
      </c>
      <c r="BJ121" s="109">
        <f t="shared" si="10"/>
        <v>0</v>
      </c>
      <c r="BK121" s="54" t="s">
        <v>197</v>
      </c>
      <c r="BL121" s="54" t="s">
        <v>209</v>
      </c>
    </row>
    <row r="122" spans="2:64" s="2" customFormat="1" ht="16.5" customHeight="1" x14ac:dyDescent="0.25">
      <c r="B122" s="112"/>
      <c r="C122" s="113">
        <v>25</v>
      </c>
      <c r="D122" s="113" t="s">
        <v>129</v>
      </c>
      <c r="E122" s="114" t="s">
        <v>228</v>
      </c>
      <c r="F122" s="115" t="s">
        <v>229</v>
      </c>
      <c r="G122" s="116" t="s">
        <v>230</v>
      </c>
      <c r="H122" s="117">
        <v>163</v>
      </c>
      <c r="I122" s="117"/>
      <c r="J122" s="117">
        <f t="shared" si="1"/>
        <v>0</v>
      </c>
      <c r="K122" s="115" t="s">
        <v>9</v>
      </c>
      <c r="L122" s="59"/>
      <c r="M122" s="118" t="s">
        <v>9</v>
      </c>
      <c r="N122" s="119" t="s">
        <v>27</v>
      </c>
      <c r="O122" s="120">
        <v>7.4999999999999997E-2</v>
      </c>
      <c r="P122" s="120">
        <f t="shared" si="2"/>
        <v>12.225</v>
      </c>
      <c r="Q122" s="120">
        <v>0</v>
      </c>
      <c r="R122" s="120">
        <f t="shared" si="3"/>
        <v>0</v>
      </c>
      <c r="S122" s="120">
        <v>2.5200000000000001E-3</v>
      </c>
      <c r="T122" s="121">
        <f t="shared" si="4"/>
        <v>0.41076000000000001</v>
      </c>
      <c r="AQ122" s="54" t="s">
        <v>197</v>
      </c>
      <c r="AS122" s="54" t="s">
        <v>129</v>
      </c>
      <c r="AT122" s="54" t="s">
        <v>88</v>
      </c>
      <c r="AX122" s="54" t="s">
        <v>126</v>
      </c>
      <c r="BD122" s="65">
        <f t="shared" si="5"/>
        <v>0</v>
      </c>
      <c r="BE122" s="65">
        <f t="shared" si="6"/>
        <v>0</v>
      </c>
      <c r="BF122" s="65">
        <f t="shared" si="7"/>
        <v>0</v>
      </c>
      <c r="BG122" s="65">
        <f t="shared" si="8"/>
        <v>0</v>
      </c>
      <c r="BH122" s="65">
        <f t="shared" si="9"/>
        <v>0</v>
      </c>
      <c r="BI122" s="54" t="s">
        <v>88</v>
      </c>
      <c r="BJ122" s="109">
        <f t="shared" si="10"/>
        <v>0</v>
      </c>
      <c r="BK122" s="54" t="s">
        <v>197</v>
      </c>
      <c r="BL122" s="54" t="s">
        <v>231</v>
      </c>
    </row>
    <row r="123" spans="2:64" s="2" customFormat="1" ht="16.5" customHeight="1" x14ac:dyDescent="0.25">
      <c r="B123" s="112"/>
      <c r="C123" s="113">
        <v>26</v>
      </c>
      <c r="D123" s="113" t="s">
        <v>129</v>
      </c>
      <c r="E123" s="114" t="s">
        <v>465</v>
      </c>
      <c r="F123" s="115" t="s">
        <v>466</v>
      </c>
      <c r="G123" s="116" t="s">
        <v>136</v>
      </c>
      <c r="H123" s="117">
        <f>3017+133</f>
        <v>3150</v>
      </c>
      <c r="I123" s="117"/>
      <c r="J123" s="117">
        <f t="shared" si="1"/>
        <v>0</v>
      </c>
      <c r="K123" s="115" t="s">
        <v>9</v>
      </c>
      <c r="L123" s="59"/>
      <c r="M123" s="118" t="s">
        <v>9</v>
      </c>
      <c r="N123" s="119" t="s">
        <v>27</v>
      </c>
      <c r="O123" s="120">
        <v>0.43458000000000002</v>
      </c>
      <c r="P123" s="120">
        <f t="shared" si="2"/>
        <v>1368.9270000000001</v>
      </c>
      <c r="Q123" s="120">
        <v>9.8999999999999999E-4</v>
      </c>
      <c r="R123" s="120">
        <f t="shared" si="3"/>
        <v>3.1185</v>
      </c>
      <c r="S123" s="120">
        <v>0</v>
      </c>
      <c r="T123" s="121">
        <f t="shared" si="4"/>
        <v>0</v>
      </c>
      <c r="AQ123" s="54" t="s">
        <v>197</v>
      </c>
      <c r="AS123" s="54" t="s">
        <v>129</v>
      </c>
      <c r="AT123" s="54" t="s">
        <v>88</v>
      </c>
      <c r="AX123" s="54" t="s">
        <v>126</v>
      </c>
      <c r="BD123" s="65">
        <f t="shared" si="5"/>
        <v>0</v>
      </c>
      <c r="BE123" s="65">
        <f t="shared" si="6"/>
        <v>0</v>
      </c>
      <c r="BF123" s="65">
        <f t="shared" si="7"/>
        <v>0</v>
      </c>
      <c r="BG123" s="65">
        <f t="shared" si="8"/>
        <v>0</v>
      </c>
      <c r="BH123" s="65">
        <f t="shared" si="9"/>
        <v>0</v>
      </c>
      <c r="BI123" s="54" t="s">
        <v>88</v>
      </c>
      <c r="BJ123" s="109">
        <f t="shared" si="10"/>
        <v>0</v>
      </c>
      <c r="BK123" s="54" t="s">
        <v>197</v>
      </c>
      <c r="BL123" s="54" t="s">
        <v>467</v>
      </c>
    </row>
    <row r="124" spans="2:64" s="2" customFormat="1" ht="16.5" customHeight="1" x14ac:dyDescent="0.25">
      <c r="B124" s="112"/>
      <c r="C124" s="113">
        <v>29</v>
      </c>
      <c r="D124" s="113" t="s">
        <v>129</v>
      </c>
      <c r="E124" s="114" t="s">
        <v>219</v>
      </c>
      <c r="F124" s="115" t="s">
        <v>546</v>
      </c>
      <c r="G124" s="116" t="s">
        <v>136</v>
      </c>
      <c r="H124" s="117">
        <f>3017*0.6</f>
        <v>1810.2</v>
      </c>
      <c r="I124" s="117"/>
      <c r="J124" s="117">
        <f t="shared" si="1"/>
        <v>0</v>
      </c>
      <c r="K124" s="115" t="s">
        <v>9</v>
      </c>
      <c r="L124" s="59"/>
      <c r="M124" s="118" t="s">
        <v>9</v>
      </c>
      <c r="N124" s="119" t="s">
        <v>27</v>
      </c>
      <c r="O124" s="120">
        <v>5.1999999999999998E-2</v>
      </c>
      <c r="P124" s="120">
        <f t="shared" si="2"/>
        <v>94.130399999999995</v>
      </c>
      <c r="Q124" s="120">
        <v>0</v>
      </c>
      <c r="R124" s="120">
        <f t="shared" si="3"/>
        <v>0</v>
      </c>
      <c r="S124" s="120">
        <v>2E-3</v>
      </c>
      <c r="T124" s="121">
        <f t="shared" si="4"/>
        <v>3.6204000000000001</v>
      </c>
      <c r="AQ124" s="54" t="s">
        <v>197</v>
      </c>
      <c r="AS124" s="54" t="s">
        <v>129</v>
      </c>
      <c r="AT124" s="54" t="s">
        <v>88</v>
      </c>
      <c r="AX124" s="54" t="s">
        <v>126</v>
      </c>
      <c r="BD124" s="65">
        <f t="shared" si="5"/>
        <v>0</v>
      </c>
      <c r="BE124" s="65">
        <f t="shared" si="6"/>
        <v>0</v>
      </c>
      <c r="BF124" s="65">
        <f t="shared" si="7"/>
        <v>0</v>
      </c>
      <c r="BG124" s="65">
        <f t="shared" si="8"/>
        <v>0</v>
      </c>
      <c r="BH124" s="65">
        <f t="shared" si="9"/>
        <v>0</v>
      </c>
      <c r="BI124" s="54" t="s">
        <v>88</v>
      </c>
      <c r="BJ124" s="109">
        <f t="shared" si="10"/>
        <v>0</v>
      </c>
      <c r="BK124" s="54" t="s">
        <v>197</v>
      </c>
      <c r="BL124" s="54" t="s">
        <v>221</v>
      </c>
    </row>
    <row r="125" spans="2:64" s="2" customFormat="1" ht="16.5" customHeight="1" x14ac:dyDescent="0.25">
      <c r="B125" s="112"/>
      <c r="C125" s="113" t="s">
        <v>449</v>
      </c>
      <c r="D125" s="113" t="s">
        <v>129</v>
      </c>
      <c r="E125" s="114" t="s">
        <v>203</v>
      </c>
      <c r="F125" s="115" t="s">
        <v>204</v>
      </c>
      <c r="G125" s="116" t="s">
        <v>205</v>
      </c>
      <c r="H125" s="117">
        <v>2</v>
      </c>
      <c r="I125" s="117"/>
      <c r="J125" s="117">
        <f t="shared" si="1"/>
        <v>0</v>
      </c>
      <c r="K125" s="115" t="s">
        <v>9</v>
      </c>
      <c r="L125" s="59"/>
      <c r="M125" s="118" t="s">
        <v>9</v>
      </c>
      <c r="N125" s="119" t="s">
        <v>27</v>
      </c>
      <c r="O125" s="120">
        <v>0.50117999999999996</v>
      </c>
      <c r="P125" s="120">
        <f t="shared" si="2"/>
        <v>1.0023599999999999</v>
      </c>
      <c r="Q125" s="120">
        <v>1.6000000000000001E-3</v>
      </c>
      <c r="R125" s="120">
        <f t="shared" si="3"/>
        <v>3.2000000000000002E-3</v>
      </c>
      <c r="S125" s="120">
        <v>0</v>
      </c>
      <c r="T125" s="121">
        <f t="shared" si="4"/>
        <v>0</v>
      </c>
      <c r="AQ125" s="54" t="s">
        <v>197</v>
      </c>
      <c r="AS125" s="54" t="s">
        <v>129</v>
      </c>
      <c r="AT125" s="54" t="s">
        <v>88</v>
      </c>
      <c r="AX125" s="54" t="s">
        <v>126</v>
      </c>
      <c r="BD125" s="65">
        <f t="shared" si="5"/>
        <v>0</v>
      </c>
      <c r="BE125" s="65">
        <f t="shared" si="6"/>
        <v>0</v>
      </c>
      <c r="BF125" s="65">
        <f t="shared" si="7"/>
        <v>0</v>
      </c>
      <c r="BG125" s="65">
        <f t="shared" si="8"/>
        <v>0</v>
      </c>
      <c r="BH125" s="65">
        <f t="shared" si="9"/>
        <v>0</v>
      </c>
      <c r="BI125" s="54" t="s">
        <v>88</v>
      </c>
      <c r="BJ125" s="109">
        <f t="shared" si="10"/>
        <v>0</v>
      </c>
      <c r="BK125" s="54" t="s">
        <v>197</v>
      </c>
      <c r="BL125" s="54" t="s">
        <v>652</v>
      </c>
    </row>
    <row r="126" spans="2:64" s="2" customFormat="1" ht="16.5" customHeight="1" x14ac:dyDescent="0.25">
      <c r="B126" s="112"/>
      <c r="C126" s="113">
        <v>30</v>
      </c>
      <c r="D126" s="113" t="s">
        <v>129</v>
      </c>
      <c r="E126" s="114" t="s">
        <v>219</v>
      </c>
      <c r="F126" s="115" t="s">
        <v>222</v>
      </c>
      <c r="G126" s="116" t="s">
        <v>136</v>
      </c>
      <c r="H126" s="117">
        <f>3017+133</f>
        <v>3150</v>
      </c>
      <c r="I126" s="117"/>
      <c r="J126" s="117">
        <f t="shared" si="1"/>
        <v>0</v>
      </c>
      <c r="K126" s="115" t="s">
        <v>9</v>
      </c>
      <c r="L126" s="59"/>
      <c r="M126" s="118" t="s">
        <v>9</v>
      </c>
      <c r="N126" s="119" t="s">
        <v>27</v>
      </c>
      <c r="O126" s="120">
        <v>5.1999999999999998E-2</v>
      </c>
      <c r="P126" s="120">
        <f t="shared" si="2"/>
        <v>163.79999999999998</v>
      </c>
      <c r="Q126" s="120">
        <v>0</v>
      </c>
      <c r="R126" s="120">
        <f t="shared" si="3"/>
        <v>0</v>
      </c>
      <c r="S126" s="120">
        <v>2E-3</v>
      </c>
      <c r="T126" s="121">
        <f t="shared" si="4"/>
        <v>6.3</v>
      </c>
      <c r="AQ126" s="54" t="s">
        <v>197</v>
      </c>
      <c r="AS126" s="54" t="s">
        <v>129</v>
      </c>
      <c r="AT126" s="54" t="s">
        <v>88</v>
      </c>
      <c r="AX126" s="54" t="s">
        <v>126</v>
      </c>
      <c r="BD126" s="65">
        <f t="shared" si="5"/>
        <v>0</v>
      </c>
      <c r="BE126" s="65">
        <f t="shared" si="6"/>
        <v>0</v>
      </c>
      <c r="BF126" s="65">
        <f t="shared" si="7"/>
        <v>0</v>
      </c>
      <c r="BG126" s="65">
        <f t="shared" si="8"/>
        <v>0</v>
      </c>
      <c r="BH126" s="65">
        <f t="shared" si="9"/>
        <v>0</v>
      </c>
      <c r="BI126" s="54" t="s">
        <v>88</v>
      </c>
      <c r="BJ126" s="109">
        <f t="shared" si="10"/>
        <v>0</v>
      </c>
      <c r="BK126" s="54" t="s">
        <v>197</v>
      </c>
      <c r="BL126" s="54" t="s">
        <v>221</v>
      </c>
    </row>
    <row r="127" spans="2:64" s="100" customFormat="1" ht="22.9" customHeight="1" x14ac:dyDescent="0.25">
      <c r="B127" s="99"/>
      <c r="D127" s="101" t="s">
        <v>123</v>
      </c>
      <c r="E127" s="110" t="s">
        <v>223</v>
      </c>
      <c r="F127" s="110" t="s">
        <v>224</v>
      </c>
      <c r="J127" s="111">
        <f>BJ127</f>
        <v>0</v>
      </c>
      <c r="L127" s="99"/>
      <c r="M127" s="104"/>
      <c r="N127" s="105"/>
      <c r="O127" s="105"/>
      <c r="P127" s="106">
        <f>SUM(P128:P129)</f>
        <v>124.08541999999998</v>
      </c>
      <c r="Q127" s="105"/>
      <c r="R127" s="106">
        <f>SUM(R128:R129)</f>
        <v>3.04E-2</v>
      </c>
      <c r="S127" s="105"/>
      <c r="T127" s="107">
        <f>SUM(T128:T129)</f>
        <v>8.0155000000000012</v>
      </c>
      <c r="AQ127" s="101" t="s">
        <v>88</v>
      </c>
      <c r="AS127" s="108" t="s">
        <v>123</v>
      </c>
      <c r="AT127" s="108" t="s">
        <v>42</v>
      </c>
      <c r="AX127" s="101" t="s">
        <v>126</v>
      </c>
      <c r="BJ127" s="109">
        <f>SUM(BJ128:BJ129)</f>
        <v>0</v>
      </c>
    </row>
    <row r="128" spans="2:64" s="2" customFormat="1" ht="16.5" customHeight="1" x14ac:dyDescent="0.25">
      <c r="B128" s="112"/>
      <c r="C128" s="113">
        <v>31</v>
      </c>
      <c r="D128" s="113" t="s">
        <v>129</v>
      </c>
      <c r="E128" s="114" t="s">
        <v>232</v>
      </c>
      <c r="F128" s="115" t="s">
        <v>233</v>
      </c>
      <c r="G128" s="116" t="s">
        <v>234</v>
      </c>
      <c r="H128" s="117">
        <v>391</v>
      </c>
      <c r="I128" s="117"/>
      <c r="J128" s="117">
        <f>ROUND(I128*H128,3)</f>
        <v>0</v>
      </c>
      <c r="K128" s="115" t="s">
        <v>9</v>
      </c>
      <c r="L128" s="59"/>
      <c r="M128" s="118" t="s">
        <v>9</v>
      </c>
      <c r="N128" s="119" t="s">
        <v>27</v>
      </c>
      <c r="O128" s="120">
        <v>0.29299999999999998</v>
      </c>
      <c r="P128" s="120">
        <f>O128*H128</f>
        <v>114.56299999999999</v>
      </c>
      <c r="Q128" s="120">
        <v>0</v>
      </c>
      <c r="R128" s="120">
        <f>Q128*H128</f>
        <v>0</v>
      </c>
      <c r="S128" s="120">
        <v>2.0500000000000001E-2</v>
      </c>
      <c r="T128" s="121">
        <f>S128*H128</f>
        <v>8.0155000000000012</v>
      </c>
      <c r="AQ128" s="54" t="s">
        <v>197</v>
      </c>
      <c r="AS128" s="54" t="s">
        <v>129</v>
      </c>
      <c r="AT128" s="54" t="s">
        <v>88</v>
      </c>
      <c r="AX128" s="54" t="s">
        <v>126</v>
      </c>
      <c r="BD128" s="65">
        <f>IF(N128="základná",J128,0)</f>
        <v>0</v>
      </c>
      <c r="BE128" s="65">
        <f>IF(N128="znížená",J128,0)</f>
        <v>0</v>
      </c>
      <c r="BF128" s="65">
        <f>IF(N128="zákl. prenesená",J128,0)</f>
        <v>0</v>
      </c>
      <c r="BG128" s="65">
        <f>IF(N128="zníž. prenesená",J128,0)</f>
        <v>0</v>
      </c>
      <c r="BH128" s="65">
        <f>IF(N128="nulová",J128,0)</f>
        <v>0</v>
      </c>
      <c r="BI128" s="54" t="s">
        <v>88</v>
      </c>
      <c r="BJ128" s="109">
        <f>ROUND(I128*H128,3)</f>
        <v>0</v>
      </c>
      <c r="BK128" s="54" t="s">
        <v>197</v>
      </c>
      <c r="BL128" s="54" t="s">
        <v>235</v>
      </c>
    </row>
    <row r="129" spans="2:64" s="2" customFormat="1" ht="16.5" customHeight="1" x14ac:dyDescent="0.25">
      <c r="B129" s="112"/>
      <c r="C129" s="113">
        <v>32</v>
      </c>
      <c r="D129" s="113" t="s">
        <v>129</v>
      </c>
      <c r="E129" s="114" t="s">
        <v>239</v>
      </c>
      <c r="F129" s="115" t="s">
        <v>240</v>
      </c>
      <c r="G129" s="116" t="s">
        <v>205</v>
      </c>
      <c r="H129" s="117">
        <v>19</v>
      </c>
      <c r="I129" s="117"/>
      <c r="J129" s="117">
        <f>ROUND(I129*H129,3)</f>
        <v>0</v>
      </c>
      <c r="K129" s="115" t="s">
        <v>9</v>
      </c>
      <c r="L129" s="59"/>
      <c r="M129" s="118" t="s">
        <v>9</v>
      </c>
      <c r="N129" s="119" t="s">
        <v>27</v>
      </c>
      <c r="O129" s="120">
        <v>0.50117999999999996</v>
      </c>
      <c r="P129" s="120">
        <f>O129*H129</f>
        <v>9.5224199999999986</v>
      </c>
      <c r="Q129" s="120">
        <v>1.6000000000000001E-3</v>
      </c>
      <c r="R129" s="120">
        <f>Q129*H129</f>
        <v>3.04E-2</v>
      </c>
      <c r="S129" s="120">
        <v>0</v>
      </c>
      <c r="T129" s="121">
        <f>S129*H129</f>
        <v>0</v>
      </c>
      <c r="AQ129" s="54" t="s">
        <v>197</v>
      </c>
      <c r="AS129" s="54" t="s">
        <v>129</v>
      </c>
      <c r="AT129" s="54" t="s">
        <v>88</v>
      </c>
      <c r="AX129" s="54" t="s">
        <v>126</v>
      </c>
      <c r="BD129" s="65">
        <f>IF(N129="základná",J129,0)</f>
        <v>0</v>
      </c>
      <c r="BE129" s="65">
        <f>IF(N129="znížená",J129,0)</f>
        <v>0</v>
      </c>
      <c r="BF129" s="65">
        <f>IF(N129="zákl. prenesená",J129,0)</f>
        <v>0</v>
      </c>
      <c r="BG129" s="65">
        <f>IF(N129="zníž. prenesená",J129,0)</f>
        <v>0</v>
      </c>
      <c r="BH129" s="65">
        <f>IF(N129="nulová",J129,0)</f>
        <v>0</v>
      </c>
      <c r="BI129" s="54" t="s">
        <v>88</v>
      </c>
      <c r="BJ129" s="109">
        <f>ROUND(I129*H129,3)</f>
        <v>0</v>
      </c>
      <c r="BK129" s="54" t="s">
        <v>197</v>
      </c>
      <c r="BL129" s="54" t="s">
        <v>241</v>
      </c>
    </row>
    <row r="130" spans="2:64" s="100" customFormat="1" ht="22.9" customHeight="1" x14ac:dyDescent="0.25">
      <c r="B130" s="99"/>
      <c r="D130" s="101"/>
      <c r="E130" s="110"/>
      <c r="F130" s="110"/>
      <c r="J130" s="111"/>
      <c r="L130" s="99"/>
      <c r="M130" s="205"/>
      <c r="N130" s="206"/>
      <c r="O130" s="206"/>
      <c r="P130" s="207">
        <v>0</v>
      </c>
      <c r="Q130" s="206"/>
      <c r="R130" s="207">
        <v>0</v>
      </c>
      <c r="S130" s="206"/>
      <c r="T130" s="208">
        <v>0</v>
      </c>
      <c r="AQ130" s="101" t="s">
        <v>88</v>
      </c>
      <c r="AS130" s="108" t="s">
        <v>123</v>
      </c>
      <c r="AT130" s="108" t="s">
        <v>42</v>
      </c>
      <c r="AX130" s="101" t="s">
        <v>126</v>
      </c>
      <c r="BJ130" s="109">
        <v>0</v>
      </c>
    </row>
    <row r="131" spans="2:64" s="2" customFormat="1" ht="6.95" customHeight="1" x14ac:dyDescent="0.25">
      <c r="B131" s="72"/>
      <c r="C131" s="4"/>
      <c r="D131" s="4"/>
      <c r="E131" s="4"/>
      <c r="F131" s="4"/>
      <c r="G131" s="4"/>
      <c r="H131" s="4"/>
      <c r="I131" s="4"/>
      <c r="J131" s="4"/>
      <c r="K131" s="4"/>
      <c r="L131" s="59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opLeftCell="A81" workbookViewId="0">
      <selection activeCell="I91" sqref="I91:I205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83</v>
      </c>
      <c r="AZ2" s="128" t="s">
        <v>247</v>
      </c>
      <c r="BA2" s="128" t="s">
        <v>248</v>
      </c>
      <c r="BB2" s="128" t="s">
        <v>9</v>
      </c>
      <c r="BC2" s="128" t="s">
        <v>664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670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ROUND(J88,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ROUND((SUM(BE88:BE134)),  2)</f>
        <v>0</v>
      </c>
      <c r="I33" s="139">
        <v>0.2</v>
      </c>
      <c r="J33" s="138">
        <f>ROUND(((SUM(BE88:BE134))*I33),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ROUND((SUM(BF88:BF134)),  2)</f>
        <v>0</v>
      </c>
      <c r="I34" s="139">
        <v>0.2</v>
      </c>
      <c r="J34" s="138">
        <f>ROUND(((SUM(BF88:BF134))*I34),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ROUND((SUM(BG88:BG134)),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ROUND((SUM(BH88:BH134)),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ROUND((SUM(BI88:BI134)),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T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J88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J89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J90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J98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J101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J118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J123</f>
        <v>0</v>
      </c>
      <c r="L66" s="83"/>
    </row>
    <row r="67" spans="2:12" s="147" customFormat="1" ht="15" x14ac:dyDescent="0.25">
      <c r="B67" s="78"/>
      <c r="D67" s="80" t="s">
        <v>252</v>
      </c>
      <c r="E67" s="81"/>
      <c r="F67" s="81"/>
      <c r="G67" s="81"/>
      <c r="H67" s="81"/>
      <c r="I67" s="81"/>
      <c r="J67" s="82">
        <f>J132</f>
        <v>0</v>
      </c>
      <c r="L67" s="78"/>
    </row>
    <row r="68" spans="2:12" s="148" customFormat="1" ht="12.75" x14ac:dyDescent="0.25">
      <c r="B68" s="83"/>
      <c r="D68" s="85" t="s">
        <v>253</v>
      </c>
      <c r="E68" s="86"/>
      <c r="F68" s="86"/>
      <c r="G68" s="86"/>
      <c r="H68" s="86"/>
      <c r="I68" s="86"/>
      <c r="J68" s="87">
        <f>J133</f>
        <v>0</v>
      </c>
      <c r="L68" s="83"/>
    </row>
    <row r="69" spans="2:12" s="26" customFormat="1" x14ac:dyDescent="0.25">
      <c r="B69" s="132"/>
      <c r="L69" s="132"/>
    </row>
    <row r="70" spans="2:12" s="26" customFormat="1" x14ac:dyDescent="0.25">
      <c r="B70" s="141"/>
      <c r="C70" s="36"/>
      <c r="D70" s="36"/>
      <c r="E70" s="36"/>
      <c r="F70" s="36"/>
      <c r="G70" s="36"/>
      <c r="H70" s="36"/>
      <c r="I70" s="36"/>
      <c r="J70" s="36"/>
      <c r="K70" s="36"/>
      <c r="L70" s="132"/>
    </row>
    <row r="74" spans="2:12" s="26" customFormat="1" x14ac:dyDescent="0.25">
      <c r="B74" s="142"/>
      <c r="C74" s="37"/>
      <c r="D74" s="37"/>
      <c r="E74" s="37"/>
      <c r="F74" s="37"/>
      <c r="G74" s="37"/>
      <c r="H74" s="37"/>
      <c r="I74" s="37"/>
      <c r="J74" s="37"/>
      <c r="K74" s="37"/>
      <c r="L74" s="132"/>
    </row>
    <row r="75" spans="2:12" s="26" customFormat="1" ht="18" x14ac:dyDescent="0.25">
      <c r="B75" s="132"/>
      <c r="C75" s="131" t="s">
        <v>109</v>
      </c>
      <c r="L75" s="132"/>
    </row>
    <row r="76" spans="2:12" s="26" customFormat="1" x14ac:dyDescent="0.25">
      <c r="B76" s="132"/>
      <c r="L76" s="132"/>
    </row>
    <row r="77" spans="2:12" s="26" customFormat="1" x14ac:dyDescent="0.25">
      <c r="B77" s="132"/>
      <c r="C77" s="128" t="s">
        <v>7</v>
      </c>
      <c r="L77" s="132"/>
    </row>
    <row r="78" spans="2:12" s="26" customFormat="1" x14ac:dyDescent="0.25">
      <c r="B78" s="132"/>
      <c r="E78" s="278" t="str">
        <f>E7</f>
        <v>Nemocnica Sv. Cyrila a Metoda v Bratislave</v>
      </c>
      <c r="F78" s="279"/>
      <c r="G78" s="279"/>
      <c r="H78" s="279"/>
      <c r="L78" s="132"/>
    </row>
    <row r="79" spans="2:12" s="26" customFormat="1" x14ac:dyDescent="0.25">
      <c r="B79" s="132"/>
      <c r="C79" s="128" t="s">
        <v>96</v>
      </c>
      <c r="L79" s="132"/>
    </row>
    <row r="80" spans="2:12" s="26" customFormat="1" ht="15" customHeight="1" x14ac:dyDescent="0.25">
      <c r="B80" s="132"/>
      <c r="E80" s="276" t="s">
        <v>665</v>
      </c>
      <c r="F80" s="277"/>
      <c r="G80" s="277"/>
      <c r="H80" s="277"/>
      <c r="L80" s="132"/>
    </row>
    <row r="81" spans="2:65" s="26" customFormat="1" ht="6.95" customHeight="1" x14ac:dyDescent="0.25">
      <c r="B81" s="132"/>
      <c r="L81" s="132"/>
    </row>
    <row r="82" spans="2:65" s="26" customFormat="1" ht="12" customHeight="1" x14ac:dyDescent="0.25">
      <c r="B82" s="132"/>
      <c r="C82" s="128" t="s">
        <v>11</v>
      </c>
      <c r="F82" s="128" t="str">
        <f>F12</f>
        <v xml:space="preserve"> </v>
      </c>
      <c r="I82" s="128" t="s">
        <v>13</v>
      </c>
      <c r="J82" s="41" t="e">
        <f>IF(J12="","",J12)</f>
        <v>#REF!</v>
      </c>
      <c r="L82" s="132"/>
    </row>
    <row r="83" spans="2:65" s="26" customFormat="1" ht="6.95" customHeight="1" x14ac:dyDescent="0.25">
      <c r="B83" s="132"/>
      <c r="L83" s="132"/>
    </row>
    <row r="84" spans="2:65" s="26" customFormat="1" ht="13.7" customHeight="1" x14ac:dyDescent="0.25">
      <c r="B84" s="132"/>
      <c r="C84" s="128" t="s">
        <v>14</v>
      </c>
      <c r="F84" s="128" t="str">
        <f>E15</f>
        <v xml:space="preserve"> </v>
      </c>
      <c r="I84" s="128" t="s">
        <v>18</v>
      </c>
      <c r="J84" s="143" t="str">
        <f>E21</f>
        <v xml:space="preserve"> </v>
      </c>
      <c r="L84" s="132"/>
    </row>
    <row r="85" spans="2:65" s="26" customFormat="1" ht="13.7" customHeight="1" x14ac:dyDescent="0.25">
      <c r="B85" s="132"/>
      <c r="C85" s="128" t="s">
        <v>17</v>
      </c>
      <c r="F85" s="128" t="str">
        <f>IF(E18="","",E18)</f>
        <v xml:space="preserve"> </v>
      </c>
      <c r="I85" s="128" t="s">
        <v>19</v>
      </c>
      <c r="J85" s="143" t="str">
        <f>E24</f>
        <v xml:space="preserve"> </v>
      </c>
      <c r="L85" s="132"/>
    </row>
    <row r="86" spans="2:65" s="26" customFormat="1" ht="10.35" customHeight="1" x14ac:dyDescent="0.25">
      <c r="B86" s="132"/>
      <c r="L86" s="132"/>
    </row>
    <row r="87" spans="2:65" s="151" customFormat="1" ht="29.25" customHeight="1" x14ac:dyDescent="0.25">
      <c r="B87" s="149"/>
      <c r="C87" s="89" t="s">
        <v>111</v>
      </c>
      <c r="D87" s="90" t="s">
        <v>112</v>
      </c>
      <c r="E87" s="90" t="s">
        <v>35</v>
      </c>
      <c r="F87" s="90" t="s">
        <v>36</v>
      </c>
      <c r="G87" s="90" t="s">
        <v>113</v>
      </c>
      <c r="H87" s="90" t="s">
        <v>114</v>
      </c>
      <c r="I87" s="90" t="s">
        <v>115</v>
      </c>
      <c r="J87" s="91" t="s">
        <v>99</v>
      </c>
      <c r="K87" s="150" t="s">
        <v>116</v>
      </c>
      <c r="L87" s="149"/>
      <c r="M87" s="89" t="s">
        <v>9</v>
      </c>
      <c r="N87" s="90" t="s">
        <v>25</v>
      </c>
      <c r="O87" s="90" t="s">
        <v>117</v>
      </c>
      <c r="P87" s="90" t="s">
        <v>118</v>
      </c>
      <c r="Q87" s="90" t="s">
        <v>119</v>
      </c>
      <c r="R87" s="90" t="s">
        <v>120</v>
      </c>
      <c r="S87" s="90" t="s">
        <v>121</v>
      </c>
      <c r="T87" s="91" t="s">
        <v>122</v>
      </c>
    </row>
    <row r="88" spans="2:65" s="26" customFormat="1" ht="22.9" customHeight="1" x14ac:dyDescent="0.25">
      <c r="B88" s="132"/>
      <c r="C88" s="146" t="s">
        <v>100</v>
      </c>
      <c r="J88" s="152">
        <f>J89+J100+J132+J136</f>
        <v>0</v>
      </c>
      <c r="L88" s="132"/>
      <c r="M88" s="153"/>
      <c r="N88" s="134"/>
      <c r="O88" s="134"/>
      <c r="P88" s="154">
        <f>P89+P100+P132</f>
        <v>3781.4705469999999</v>
      </c>
      <c r="Q88" s="134"/>
      <c r="R88" s="154">
        <f>R89+R100+R132</f>
        <v>317.20745400000004</v>
      </c>
      <c r="S88" s="134"/>
      <c r="T88" s="155">
        <f>T89+T100+T132</f>
        <v>0</v>
      </c>
      <c r="AT88" s="128" t="s">
        <v>123</v>
      </c>
      <c r="AU88" s="128" t="s">
        <v>101</v>
      </c>
      <c r="BK88" s="156">
        <f>BK89+BK100+BK132</f>
        <v>0</v>
      </c>
    </row>
    <row r="89" spans="2:65" s="158" customFormat="1" ht="25.9" customHeight="1" x14ac:dyDescent="0.2">
      <c r="B89" s="157"/>
      <c r="D89" s="159" t="s">
        <v>123</v>
      </c>
      <c r="E89" s="160" t="s">
        <v>124</v>
      </c>
      <c r="F89" s="160" t="s">
        <v>125</v>
      </c>
      <c r="J89" s="161">
        <f>BK89</f>
        <v>0</v>
      </c>
      <c r="L89" s="157"/>
      <c r="M89" s="162"/>
      <c r="P89" s="163">
        <f>P90+P98</f>
        <v>1389.9987599999999</v>
      </c>
      <c r="R89" s="163">
        <f>R90+R98</f>
        <v>267.51584100000002</v>
      </c>
      <c r="T89" s="164">
        <f>T90+T98</f>
        <v>0</v>
      </c>
      <c r="AR89" s="159" t="s">
        <v>42</v>
      </c>
      <c r="AT89" s="165" t="s">
        <v>123</v>
      </c>
      <c r="AU89" s="165" t="s">
        <v>39</v>
      </c>
      <c r="AY89" s="159" t="s">
        <v>126</v>
      </c>
      <c r="BK89" s="166">
        <f>BK90+BK98</f>
        <v>0</v>
      </c>
    </row>
    <row r="90" spans="2:65" s="158" customFormat="1" ht="22.9" customHeight="1" x14ac:dyDescent="0.2">
      <c r="B90" s="157"/>
      <c r="D90" s="159" t="s">
        <v>123</v>
      </c>
      <c r="E90" s="167" t="s">
        <v>127</v>
      </c>
      <c r="F90" s="167" t="s">
        <v>128</v>
      </c>
      <c r="J90" s="168">
        <f>BK90</f>
        <v>0</v>
      </c>
      <c r="L90" s="157"/>
      <c r="M90" s="162"/>
      <c r="P90" s="163">
        <f>SUM(P91:P97)</f>
        <v>1364.3733</v>
      </c>
      <c r="R90" s="163">
        <f>SUM(R91:R97)</f>
        <v>267.51584100000002</v>
      </c>
      <c r="T90" s="164">
        <f>SUM(T91:T97)</f>
        <v>0</v>
      </c>
      <c r="AR90" s="159" t="s">
        <v>42</v>
      </c>
      <c r="AT90" s="165" t="s">
        <v>123</v>
      </c>
      <c r="AU90" s="165" t="s">
        <v>42</v>
      </c>
      <c r="AY90" s="159" t="s">
        <v>126</v>
      </c>
      <c r="BK90" s="166">
        <f>SUM(BK91:BK97)</f>
        <v>0</v>
      </c>
    </row>
    <row r="91" spans="2:65" s="26" customFormat="1" ht="16.5" customHeight="1" x14ac:dyDescent="0.25">
      <c r="B91" s="169"/>
      <c r="C91" s="170" t="s">
        <v>42</v>
      </c>
      <c r="D91" s="170" t="s">
        <v>129</v>
      </c>
      <c r="E91" s="171" t="s">
        <v>255</v>
      </c>
      <c r="F91" s="172" t="s">
        <v>256</v>
      </c>
      <c r="G91" s="173" t="s">
        <v>136</v>
      </c>
      <c r="H91" s="174">
        <v>32.6</v>
      </c>
      <c r="I91" s="174"/>
      <c r="J91" s="174">
        <f>ROUND(I91*H91,3)</f>
        <v>0</v>
      </c>
      <c r="K91" s="172" t="s">
        <v>156</v>
      </c>
      <c r="L91" s="132"/>
      <c r="M91" s="175" t="s">
        <v>9</v>
      </c>
      <c r="N91" s="176" t="s">
        <v>27</v>
      </c>
      <c r="O91" s="177">
        <v>0.318</v>
      </c>
      <c r="P91" s="177">
        <f>O91*H91</f>
        <v>10.366800000000001</v>
      </c>
      <c r="Q91" s="177">
        <v>4.0899999999999999E-3</v>
      </c>
      <c r="R91" s="177">
        <f>Q91*H91</f>
        <v>0.13333400000000001</v>
      </c>
      <c r="S91" s="177">
        <v>0</v>
      </c>
      <c r="T91" s="178">
        <f>S91*H91</f>
        <v>0</v>
      </c>
      <c r="AR91" s="128" t="s">
        <v>132</v>
      </c>
      <c r="AT91" s="128" t="s">
        <v>129</v>
      </c>
      <c r="AU91" s="128" t="s">
        <v>88</v>
      </c>
      <c r="AY91" s="128" t="s">
        <v>126</v>
      </c>
      <c r="BE91" s="138">
        <f>IF(N91="základná",J91,0)</f>
        <v>0</v>
      </c>
      <c r="BF91" s="138">
        <f>IF(N91="znížená",J91,0)</f>
        <v>0</v>
      </c>
      <c r="BG91" s="138">
        <f>IF(N91="zákl. prenesená",J91,0)</f>
        <v>0</v>
      </c>
      <c r="BH91" s="138">
        <f>IF(N91="zníž. prenesená",J91,0)</f>
        <v>0</v>
      </c>
      <c r="BI91" s="138">
        <f>IF(N91="nulová",J91,0)</f>
        <v>0</v>
      </c>
      <c r="BJ91" s="128" t="s">
        <v>88</v>
      </c>
      <c r="BK91" s="166">
        <f>ROUND(I91*H91,3)</f>
        <v>0</v>
      </c>
      <c r="BL91" s="128" t="s">
        <v>132</v>
      </c>
      <c r="BM91" s="128" t="s">
        <v>257</v>
      </c>
    </row>
    <row r="92" spans="2:65" s="26" customFormat="1" x14ac:dyDescent="0.25">
      <c r="B92" s="132"/>
      <c r="D92" s="179" t="s">
        <v>161</v>
      </c>
      <c r="E92" s="128" t="s">
        <v>9</v>
      </c>
      <c r="F92" s="143" t="s">
        <v>666</v>
      </c>
      <c r="H92" s="166">
        <v>32.6</v>
      </c>
      <c r="L92" s="132"/>
      <c r="M92" s="180"/>
      <c r="T92" s="181"/>
      <c r="AT92" s="128" t="s">
        <v>161</v>
      </c>
      <c r="AU92" s="128" t="s">
        <v>88</v>
      </c>
      <c r="AV92" s="26" t="s">
        <v>88</v>
      </c>
      <c r="AW92" s="26" t="s">
        <v>163</v>
      </c>
      <c r="AX92" s="26" t="s">
        <v>42</v>
      </c>
      <c r="AY92" s="128" t="s">
        <v>126</v>
      </c>
    </row>
    <row r="93" spans="2:65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259</v>
      </c>
      <c r="G93" s="173" t="s">
        <v>136</v>
      </c>
      <c r="H93" s="174">
        <f>2527+133</f>
        <v>2660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0.34309000000000001</v>
      </c>
      <c r="P93" s="177">
        <f>O93*H93</f>
        <v>912.61940000000004</v>
      </c>
      <c r="Q93" s="177">
        <v>4.4000000000000002E-4</v>
      </c>
      <c r="R93" s="177">
        <f>Q93*H93</f>
        <v>1.1704000000000001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260</v>
      </c>
    </row>
    <row r="94" spans="2:65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549</v>
      </c>
      <c r="G94" s="190" t="s">
        <v>205</v>
      </c>
      <c r="H94" s="191">
        <f>H93/0.16</f>
        <v>16625</v>
      </c>
      <c r="I94" s="191"/>
      <c r="J94" s="191">
        <f>ROUND(I94*H94,3)</f>
        <v>0</v>
      </c>
      <c r="K94" s="189" t="s">
        <v>156</v>
      </c>
      <c r="L94" s="199"/>
      <c r="M94" s="200" t="s">
        <v>9</v>
      </c>
      <c r="N94" s="201" t="s">
        <v>27</v>
      </c>
      <c r="O94" s="177">
        <v>0</v>
      </c>
      <c r="P94" s="177">
        <f>O94*H94</f>
        <v>0</v>
      </c>
      <c r="Q94" s="177">
        <v>1.4999999999999999E-2</v>
      </c>
      <c r="R94" s="177">
        <f>Q94*H94</f>
        <v>249.375</v>
      </c>
      <c r="S94" s="177">
        <v>0</v>
      </c>
      <c r="T94" s="178">
        <f>S94*H94</f>
        <v>0</v>
      </c>
      <c r="AR94" s="128" t="s">
        <v>264</v>
      </c>
      <c r="AT94" s="128" t="s">
        <v>261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265</v>
      </c>
    </row>
    <row r="95" spans="2:65" s="26" customFormat="1" ht="16.5" customHeight="1" x14ac:dyDescent="0.25">
      <c r="B95" s="169"/>
      <c r="C95" s="187" t="s">
        <v>132</v>
      </c>
      <c r="D95" s="187" t="s">
        <v>261</v>
      </c>
      <c r="E95" s="188" t="s">
        <v>268</v>
      </c>
      <c r="F95" s="189" t="s">
        <v>550</v>
      </c>
      <c r="G95" s="190" t="s">
        <v>205</v>
      </c>
      <c r="H95" s="191">
        <v>43520</v>
      </c>
      <c r="I95" s="191"/>
      <c r="J95" s="191">
        <f>ROUND(I95*H95,3)</f>
        <v>0</v>
      </c>
      <c r="K95" s="189" t="s">
        <v>156</v>
      </c>
      <c r="L95" s="199"/>
      <c r="M95" s="200" t="s">
        <v>9</v>
      </c>
      <c r="N95" s="201" t="s">
        <v>27</v>
      </c>
      <c r="O95" s="177">
        <v>0</v>
      </c>
      <c r="P95" s="177">
        <f>O95*H95</f>
        <v>0</v>
      </c>
      <c r="Q95" s="177">
        <v>6.9999999999999994E-5</v>
      </c>
      <c r="R95" s="177">
        <f>Q95*H95</f>
        <v>3.0463999999999998</v>
      </c>
      <c r="S95" s="177">
        <v>0</v>
      </c>
      <c r="T95" s="178">
        <f>S95*H95</f>
        <v>0</v>
      </c>
      <c r="AR95" s="128" t="s">
        <v>264</v>
      </c>
      <c r="AT95" s="128" t="s">
        <v>261</v>
      </c>
      <c r="AU95" s="128" t="s">
        <v>88</v>
      </c>
      <c r="AY95" s="128" t="s">
        <v>126</v>
      </c>
      <c r="BE95" s="138">
        <f>IF(N95="základná",J95,0)</f>
        <v>0</v>
      </c>
      <c r="BF95" s="138">
        <f>IF(N95="znížená",J95,0)</f>
        <v>0</v>
      </c>
      <c r="BG95" s="138">
        <f>IF(N95="zákl. prenesená",J95,0)</f>
        <v>0</v>
      </c>
      <c r="BH95" s="138">
        <f>IF(N95="zníž. prenesená",J95,0)</f>
        <v>0</v>
      </c>
      <c r="BI95" s="138">
        <f>IF(N95="nulová",J95,0)</f>
        <v>0</v>
      </c>
      <c r="BJ95" s="128" t="s">
        <v>88</v>
      </c>
      <c r="BK95" s="166">
        <f>ROUND(I95*H95,3)</f>
        <v>0</v>
      </c>
      <c r="BL95" s="128" t="s">
        <v>132</v>
      </c>
      <c r="BM95" s="128" t="s">
        <v>270</v>
      </c>
    </row>
    <row r="96" spans="2:65" s="26" customFormat="1" ht="16.5" customHeight="1" x14ac:dyDescent="0.25">
      <c r="B96" s="169"/>
      <c r="C96" s="170" t="s">
        <v>422</v>
      </c>
      <c r="D96" s="170" t="s">
        <v>129</v>
      </c>
      <c r="E96" s="171" t="s">
        <v>272</v>
      </c>
      <c r="F96" s="172" t="s">
        <v>423</v>
      </c>
      <c r="G96" s="173" t="s">
        <v>136</v>
      </c>
      <c r="H96" s="174">
        <f>H107*0.7</f>
        <v>2111.9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0.20899999999999999</v>
      </c>
      <c r="P96" s="177">
        <f>O96*H96</f>
        <v>441.38709999999998</v>
      </c>
      <c r="Q96" s="177">
        <v>6.5300000000000002E-3</v>
      </c>
      <c r="R96" s="177">
        <f>Q96*H96</f>
        <v>13.790707000000001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274</v>
      </c>
    </row>
    <row r="97" spans="2:65" s="26" customFormat="1" x14ac:dyDescent="0.25">
      <c r="B97" s="132"/>
      <c r="D97" s="179" t="s">
        <v>161</v>
      </c>
      <c r="E97" s="128" t="s">
        <v>9</v>
      </c>
      <c r="F97" s="143" t="s">
        <v>275</v>
      </c>
      <c r="H97" s="166"/>
      <c r="L97" s="132"/>
      <c r="M97" s="180"/>
      <c r="T97" s="181"/>
      <c r="AT97" s="128" t="s">
        <v>161</v>
      </c>
      <c r="AU97" s="128" t="s">
        <v>88</v>
      </c>
      <c r="AV97" s="26" t="s">
        <v>88</v>
      </c>
      <c r="AW97" s="26" t="s">
        <v>163</v>
      </c>
      <c r="AX97" s="26" t="s">
        <v>42</v>
      </c>
      <c r="AY97" s="128" t="s">
        <v>126</v>
      </c>
    </row>
    <row r="98" spans="2:65" s="158" customFormat="1" ht="22.9" customHeight="1" x14ac:dyDescent="0.2">
      <c r="B98" s="157"/>
      <c r="D98" s="159" t="s">
        <v>123</v>
      </c>
      <c r="E98" s="167" t="s">
        <v>276</v>
      </c>
      <c r="F98" s="167" t="s">
        <v>277</v>
      </c>
      <c r="J98" s="168">
        <f>BK98</f>
        <v>0</v>
      </c>
      <c r="L98" s="157"/>
      <c r="M98" s="162"/>
      <c r="P98" s="163">
        <f>P99</f>
        <v>25.62546</v>
      </c>
      <c r="R98" s="163">
        <f>R99</f>
        <v>0</v>
      </c>
      <c r="T98" s="164">
        <f>T99</f>
        <v>0</v>
      </c>
      <c r="AR98" s="159" t="s">
        <v>42</v>
      </c>
      <c r="AT98" s="165" t="s">
        <v>123</v>
      </c>
      <c r="AU98" s="165" t="s">
        <v>42</v>
      </c>
      <c r="AY98" s="159" t="s">
        <v>126</v>
      </c>
      <c r="BK98" s="166">
        <f>BK99</f>
        <v>0</v>
      </c>
    </row>
    <row r="99" spans="2:65" s="26" customFormat="1" ht="16.5" customHeight="1" x14ac:dyDescent="0.25">
      <c r="B99" s="169"/>
      <c r="C99" s="170" t="s">
        <v>127</v>
      </c>
      <c r="D99" s="170" t="s">
        <v>129</v>
      </c>
      <c r="E99" s="171" t="s">
        <v>278</v>
      </c>
      <c r="F99" s="172" t="s">
        <v>279</v>
      </c>
      <c r="G99" s="173" t="s">
        <v>146</v>
      </c>
      <c r="H99" s="174">
        <v>75.369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0.34</v>
      </c>
      <c r="P99" s="177">
        <f>O99*H99</f>
        <v>25.62546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280</v>
      </c>
    </row>
    <row r="100" spans="2:65" s="158" customFormat="1" ht="25.9" customHeight="1" x14ac:dyDescent="0.2">
      <c r="B100" s="157"/>
      <c r="D100" s="159" t="s">
        <v>123</v>
      </c>
      <c r="E100" s="160" t="s">
        <v>191</v>
      </c>
      <c r="F100" s="160" t="s">
        <v>192</v>
      </c>
      <c r="J100" s="161">
        <f>BK100</f>
        <v>0</v>
      </c>
      <c r="L100" s="157"/>
      <c r="M100" s="162"/>
      <c r="P100" s="163">
        <f>P101+P118+P123</f>
        <v>2391.3217869999999</v>
      </c>
      <c r="R100" s="163">
        <f>R101+R118+R123</f>
        <v>49.691612999999997</v>
      </c>
      <c r="T100" s="164">
        <f>T101+T118+T123</f>
        <v>0</v>
      </c>
      <c r="AR100" s="159" t="s">
        <v>88</v>
      </c>
      <c r="AT100" s="165" t="s">
        <v>123</v>
      </c>
      <c r="AU100" s="165" t="s">
        <v>39</v>
      </c>
      <c r="AY100" s="159" t="s">
        <v>126</v>
      </c>
      <c r="BK100" s="166">
        <f>BK101+BK118+BK123</f>
        <v>0</v>
      </c>
    </row>
    <row r="101" spans="2:65" s="158" customFormat="1" ht="22.9" customHeight="1" x14ac:dyDescent="0.2">
      <c r="B101" s="157"/>
      <c r="D101" s="159" t="s">
        <v>123</v>
      </c>
      <c r="E101" s="167" t="s">
        <v>193</v>
      </c>
      <c r="F101" s="167" t="s">
        <v>194</v>
      </c>
      <c r="J101" s="168">
        <f>BK101</f>
        <v>0</v>
      </c>
      <c r="L101" s="157"/>
      <c r="M101" s="162"/>
      <c r="P101" s="163">
        <f>SUM(P102:P117)</f>
        <v>1634.5981299999999</v>
      </c>
      <c r="R101" s="163">
        <f>SUM(R102:R117)</f>
        <v>41.885359999999999</v>
      </c>
      <c r="T101" s="164">
        <f>SUM(T102:T117)</f>
        <v>0</v>
      </c>
      <c r="AR101" s="159" t="s">
        <v>88</v>
      </c>
      <c r="AT101" s="165" t="s">
        <v>123</v>
      </c>
      <c r="AU101" s="165" t="s">
        <v>42</v>
      </c>
      <c r="AY101" s="159" t="s">
        <v>126</v>
      </c>
      <c r="BK101" s="166">
        <f>SUM(BK102:BK117)</f>
        <v>0</v>
      </c>
    </row>
    <row r="102" spans="2:65" s="26" customFormat="1" ht="16.5" customHeight="1" x14ac:dyDescent="0.25">
      <c r="B102" s="169"/>
      <c r="C102" s="170" t="s">
        <v>424</v>
      </c>
      <c r="D102" s="170" t="s">
        <v>129</v>
      </c>
      <c r="E102" s="171" t="s">
        <v>281</v>
      </c>
      <c r="F102" s="172" t="s">
        <v>282</v>
      </c>
      <c r="G102" s="173" t="s">
        <v>136</v>
      </c>
      <c r="H102" s="174">
        <v>3017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4.3029999999999999E-2</v>
      </c>
      <c r="P102" s="177">
        <f>O102*H102</f>
        <v>129.82150999999999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283</v>
      </c>
    </row>
    <row r="103" spans="2:65" s="26" customFormat="1" ht="16.5" customHeight="1" x14ac:dyDescent="0.25">
      <c r="B103" s="169"/>
      <c r="C103" s="187" t="s">
        <v>264</v>
      </c>
      <c r="D103" s="187" t="s">
        <v>261</v>
      </c>
      <c r="E103" s="188" t="s">
        <v>284</v>
      </c>
      <c r="F103" s="189" t="s">
        <v>285</v>
      </c>
      <c r="G103" s="190" t="s">
        <v>146</v>
      </c>
      <c r="H103" s="191">
        <f>H104</f>
        <v>2.26275</v>
      </c>
      <c r="I103" s="191"/>
      <c r="J103" s="191">
        <f>ROUND(I103*H103,3)</f>
        <v>0</v>
      </c>
      <c r="K103" s="189" t="s">
        <v>156</v>
      </c>
      <c r="L103" s="199"/>
      <c r="M103" s="200" t="s">
        <v>9</v>
      </c>
      <c r="N103" s="201" t="s">
        <v>27</v>
      </c>
      <c r="O103" s="177">
        <v>0</v>
      </c>
      <c r="P103" s="177">
        <f>O103*H103</f>
        <v>0</v>
      </c>
      <c r="Q103" s="177">
        <v>1</v>
      </c>
      <c r="R103" s="177">
        <f>Q103*H103</f>
        <v>2.26275</v>
      </c>
      <c r="S103" s="177">
        <v>0</v>
      </c>
      <c r="T103" s="178">
        <f>S103*H103</f>
        <v>0</v>
      </c>
      <c r="AR103" s="128" t="s">
        <v>286</v>
      </c>
      <c r="AT103" s="128" t="s">
        <v>261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287</v>
      </c>
    </row>
    <row r="104" spans="2:65" s="26" customFormat="1" x14ac:dyDescent="0.25">
      <c r="B104" s="132"/>
      <c r="D104" s="179" t="s">
        <v>161</v>
      </c>
      <c r="F104" s="143" t="s">
        <v>667</v>
      </c>
      <c r="H104" s="166">
        <f>H102*0.00075</f>
        <v>2.26275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</v>
      </c>
      <c r="AX104" s="26" t="s">
        <v>42</v>
      </c>
      <c r="AY104" s="128" t="s">
        <v>126</v>
      </c>
    </row>
    <row r="105" spans="2:65" s="26" customFormat="1" ht="22.5" customHeight="1" x14ac:dyDescent="0.25">
      <c r="B105" s="169"/>
      <c r="C105" s="170" t="s">
        <v>138</v>
      </c>
      <c r="D105" s="170" t="s">
        <v>129</v>
      </c>
      <c r="E105" s="171" t="s">
        <v>289</v>
      </c>
      <c r="F105" s="172" t="s">
        <v>290</v>
      </c>
      <c r="G105" s="173" t="s">
        <v>136</v>
      </c>
      <c r="H105" s="174">
        <v>549.34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0.17499999999999999</v>
      </c>
      <c r="P105" s="177">
        <f>O105*H105</f>
        <v>96.134500000000003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197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291</v>
      </c>
    </row>
    <row r="106" spans="2:65" s="26" customFormat="1" x14ac:dyDescent="0.25">
      <c r="B106" s="132"/>
      <c r="D106" s="179" t="s">
        <v>161</v>
      </c>
      <c r="E106" s="128" t="s">
        <v>9</v>
      </c>
      <c r="F106" s="143" t="s">
        <v>668</v>
      </c>
      <c r="H106" s="166">
        <v>549.34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163</v>
      </c>
      <c r="AX106" s="26" t="s">
        <v>42</v>
      </c>
      <c r="AY106" s="128" t="s">
        <v>126</v>
      </c>
    </row>
    <row r="107" spans="2:65" s="26" customFormat="1" ht="22.5" customHeight="1" x14ac:dyDescent="0.25">
      <c r="B107" s="169"/>
      <c r="C107" s="170" t="s">
        <v>427</v>
      </c>
      <c r="D107" s="170" t="s">
        <v>129</v>
      </c>
      <c r="E107" s="171" t="s">
        <v>293</v>
      </c>
      <c r="F107" s="172" t="s">
        <v>294</v>
      </c>
      <c r="G107" s="173" t="s">
        <v>136</v>
      </c>
      <c r="H107" s="174">
        <v>3017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0.43458000000000002</v>
      </c>
      <c r="P107" s="177">
        <f>O107*H107</f>
        <v>1311.1278600000001</v>
      </c>
      <c r="Q107" s="177">
        <v>9.8999999999999999E-4</v>
      </c>
      <c r="R107" s="177">
        <f>Q107*H107</f>
        <v>2.9868299999999999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295</v>
      </c>
    </row>
    <row r="108" spans="2:65" s="26" customFormat="1" ht="22.5" customHeight="1" x14ac:dyDescent="0.25">
      <c r="B108" s="169"/>
      <c r="C108" s="170" t="s">
        <v>428</v>
      </c>
      <c r="D108" s="170" t="s">
        <v>129</v>
      </c>
      <c r="E108" s="171" t="s">
        <v>296</v>
      </c>
      <c r="F108" s="172" t="s">
        <v>297</v>
      </c>
      <c r="G108" s="173" t="s">
        <v>136</v>
      </c>
      <c r="H108" s="174">
        <v>65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0.435</v>
      </c>
      <c r="P108" s="177">
        <f>O108*H108</f>
        <v>28.274999999999999</v>
      </c>
      <c r="Q108" s="177">
        <v>9.8999999999999999E-4</v>
      </c>
      <c r="R108" s="177">
        <f>Q108*H108</f>
        <v>6.4350000000000004E-2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298</v>
      </c>
    </row>
    <row r="109" spans="2:65" s="26" customFormat="1" ht="28.9" customHeight="1" x14ac:dyDescent="0.25">
      <c r="B109" s="169"/>
      <c r="C109" s="187" t="s">
        <v>429</v>
      </c>
      <c r="D109" s="187" t="s">
        <v>261</v>
      </c>
      <c r="E109" s="188" t="s">
        <v>299</v>
      </c>
      <c r="F109" s="189" t="s">
        <v>300</v>
      </c>
      <c r="G109" s="190" t="s">
        <v>136</v>
      </c>
      <c r="H109" s="191">
        <f>H110</f>
        <v>3544.2999999999997</v>
      </c>
      <c r="I109" s="191"/>
      <c r="J109" s="191">
        <f>ROUND(I109*H109,3)</f>
        <v>0</v>
      </c>
      <c r="K109" s="189" t="s">
        <v>156</v>
      </c>
      <c r="L109" s="199"/>
      <c r="M109" s="200" t="s">
        <v>9</v>
      </c>
      <c r="N109" s="201" t="s">
        <v>27</v>
      </c>
      <c r="O109" s="177">
        <v>0</v>
      </c>
      <c r="P109" s="177">
        <f>O109*H109</f>
        <v>0</v>
      </c>
      <c r="Q109" s="177">
        <v>5.0000000000000001E-3</v>
      </c>
      <c r="R109" s="177">
        <f>Q109*H109</f>
        <v>17.721499999999999</v>
      </c>
      <c r="S109" s="177">
        <v>0</v>
      </c>
      <c r="T109" s="178">
        <f>S109*H109</f>
        <v>0</v>
      </c>
      <c r="AR109" s="128" t="s">
        <v>286</v>
      </c>
      <c r="AT109" s="128" t="s">
        <v>261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301</v>
      </c>
    </row>
    <row r="110" spans="2:65" s="26" customFormat="1" x14ac:dyDescent="0.25">
      <c r="B110" s="132"/>
      <c r="D110" s="179" t="s">
        <v>161</v>
      </c>
      <c r="F110" s="143"/>
      <c r="H110" s="166">
        <f>(H107+H108)*1.15</f>
        <v>3544.2999999999997</v>
      </c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</v>
      </c>
      <c r="AX110" s="26" t="s">
        <v>42</v>
      </c>
      <c r="AY110" s="128" t="s">
        <v>126</v>
      </c>
    </row>
    <row r="111" spans="2:65" s="26" customFormat="1" ht="26.45" customHeight="1" x14ac:dyDescent="0.25">
      <c r="B111" s="169"/>
      <c r="C111" s="187" t="s">
        <v>431</v>
      </c>
      <c r="D111" s="187" t="s">
        <v>261</v>
      </c>
      <c r="E111" s="188" t="s">
        <v>303</v>
      </c>
      <c r="F111" s="189" t="s">
        <v>304</v>
      </c>
      <c r="G111" s="190" t="s">
        <v>136</v>
      </c>
      <c r="H111" s="191">
        <f>H109</f>
        <v>3544.2999999999997</v>
      </c>
      <c r="I111" s="191"/>
      <c r="J111" s="191">
        <f>ROUND(I111*H111,3)</f>
        <v>0</v>
      </c>
      <c r="K111" s="189" t="s">
        <v>9</v>
      </c>
      <c r="L111" s="199"/>
      <c r="M111" s="200" t="s">
        <v>9</v>
      </c>
      <c r="N111" s="201" t="s">
        <v>27</v>
      </c>
      <c r="O111" s="177">
        <v>0</v>
      </c>
      <c r="P111" s="177">
        <f>O111*H111</f>
        <v>0</v>
      </c>
      <c r="Q111" s="177">
        <v>5.0000000000000001E-3</v>
      </c>
      <c r="R111" s="177">
        <f>Q111*H111</f>
        <v>17.721499999999999</v>
      </c>
      <c r="S111" s="177">
        <v>0</v>
      </c>
      <c r="T111" s="178">
        <f>S111*H111</f>
        <v>0</v>
      </c>
      <c r="AR111" s="128" t="s">
        <v>286</v>
      </c>
      <c r="AT111" s="128" t="s">
        <v>261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305</v>
      </c>
    </row>
    <row r="112" spans="2:65" s="26" customFormat="1" ht="16.5" customHeight="1" x14ac:dyDescent="0.25">
      <c r="B112" s="169"/>
      <c r="C112" s="170" t="s">
        <v>432</v>
      </c>
      <c r="D112" s="170" t="s">
        <v>129</v>
      </c>
      <c r="E112" s="171" t="s">
        <v>306</v>
      </c>
      <c r="F112" s="172" t="s">
        <v>307</v>
      </c>
      <c r="G112" s="173" t="s">
        <v>234</v>
      </c>
      <c r="H112" s="174">
        <f>H124+H125+H127+H129</f>
        <v>488.4</v>
      </c>
      <c r="I112" s="174"/>
      <c r="J112" s="174">
        <f t="shared" ref="J112:J117" si="0">ROUND(I112*H112,3)</f>
        <v>0</v>
      </c>
      <c r="K112" s="172" t="s">
        <v>9</v>
      </c>
      <c r="L112" s="132"/>
      <c r="M112" s="175" t="s">
        <v>9</v>
      </c>
      <c r="N112" s="176" t="s">
        <v>27</v>
      </c>
      <c r="O112" s="177">
        <v>0</v>
      </c>
      <c r="P112" s="177">
        <f t="shared" ref="P112:P117" si="1">O112*H112</f>
        <v>0</v>
      </c>
      <c r="Q112" s="177">
        <v>0</v>
      </c>
      <c r="R112" s="177">
        <f t="shared" ref="R112:R117" si="2">Q112*H112</f>
        <v>0</v>
      </c>
      <c r="S112" s="177">
        <v>0</v>
      </c>
      <c r="T112" s="178">
        <f t="shared" ref="T112:T117" si="3">S112*H112</f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 t="shared" ref="BE112:BE117" si="4">IF(N112="základná",J112,0)</f>
        <v>0</v>
      </c>
      <c r="BF112" s="138">
        <f t="shared" ref="BF112:BF117" si="5">IF(N112="znížená",J112,0)</f>
        <v>0</v>
      </c>
      <c r="BG112" s="138">
        <f t="shared" ref="BG112:BG117" si="6">IF(N112="zákl. prenesená",J112,0)</f>
        <v>0</v>
      </c>
      <c r="BH112" s="138">
        <f t="shared" ref="BH112:BH117" si="7">IF(N112="zníž. prenesená",J112,0)</f>
        <v>0</v>
      </c>
      <c r="BI112" s="138">
        <f t="shared" ref="BI112:BI117" si="8">IF(N112="nulová",J112,0)</f>
        <v>0</v>
      </c>
      <c r="BJ112" s="128" t="s">
        <v>88</v>
      </c>
      <c r="BK112" s="166">
        <f t="shared" ref="BK112:BK117" si="9">ROUND(I112*H112,3)</f>
        <v>0</v>
      </c>
      <c r="BL112" s="128" t="s">
        <v>197</v>
      </c>
      <c r="BM112" s="128" t="s">
        <v>308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309</v>
      </c>
      <c r="F113" s="172" t="s">
        <v>310</v>
      </c>
      <c r="G113" s="173" t="s">
        <v>136</v>
      </c>
      <c r="H113" s="174">
        <v>2304</v>
      </c>
      <c r="I113" s="174"/>
      <c r="J113" s="174">
        <f t="shared" si="0"/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2.8049999999999999E-2</v>
      </c>
      <c r="P113" s="177">
        <f t="shared" si="1"/>
        <v>64.627200000000002</v>
      </c>
      <c r="Q113" s="177">
        <v>0</v>
      </c>
      <c r="R113" s="177">
        <f t="shared" si="2"/>
        <v>0</v>
      </c>
      <c r="S113" s="177">
        <v>0</v>
      </c>
      <c r="T113" s="178">
        <f t="shared" si="3"/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 t="shared" si="4"/>
        <v>0</v>
      </c>
      <c r="BF113" s="138">
        <f t="shared" si="5"/>
        <v>0</v>
      </c>
      <c r="BG113" s="138">
        <f t="shared" si="6"/>
        <v>0</v>
      </c>
      <c r="BH113" s="138">
        <f t="shared" si="7"/>
        <v>0</v>
      </c>
      <c r="BI113" s="138">
        <f t="shared" si="8"/>
        <v>0</v>
      </c>
      <c r="BJ113" s="128" t="s">
        <v>88</v>
      </c>
      <c r="BK113" s="166">
        <f t="shared" si="9"/>
        <v>0</v>
      </c>
      <c r="BL113" s="128" t="s">
        <v>197</v>
      </c>
      <c r="BM113" s="128" t="s">
        <v>311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312</v>
      </c>
      <c r="F114" s="189" t="s">
        <v>313</v>
      </c>
      <c r="G114" s="190" t="s">
        <v>136</v>
      </c>
      <c r="H114" s="191">
        <v>2649.6</v>
      </c>
      <c r="I114" s="191"/>
      <c r="J114" s="191">
        <f t="shared" si="0"/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 t="shared" si="1"/>
        <v>0</v>
      </c>
      <c r="Q114" s="177">
        <v>4.0000000000000002E-4</v>
      </c>
      <c r="R114" s="177">
        <f t="shared" si="2"/>
        <v>1.0598400000000001</v>
      </c>
      <c r="S114" s="177">
        <v>0</v>
      </c>
      <c r="T114" s="178">
        <f t="shared" si="3"/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 t="shared" si="4"/>
        <v>0</v>
      </c>
      <c r="BF114" s="138">
        <f t="shared" si="5"/>
        <v>0</v>
      </c>
      <c r="BG114" s="138">
        <f t="shared" si="6"/>
        <v>0</v>
      </c>
      <c r="BH114" s="138">
        <f t="shared" si="7"/>
        <v>0</v>
      </c>
      <c r="BI114" s="138">
        <f t="shared" si="8"/>
        <v>0</v>
      </c>
      <c r="BJ114" s="128" t="s">
        <v>88</v>
      </c>
      <c r="BK114" s="166">
        <f t="shared" si="9"/>
        <v>0</v>
      </c>
      <c r="BL114" s="128" t="s">
        <v>197</v>
      </c>
      <c r="BM114" s="128" t="s">
        <v>314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316</v>
      </c>
      <c r="F115" s="172" t="s">
        <v>317</v>
      </c>
      <c r="G115" s="173" t="s">
        <v>205</v>
      </c>
      <c r="H115" s="174">
        <v>19</v>
      </c>
      <c r="I115" s="174"/>
      <c r="J115" s="174">
        <f t="shared" si="0"/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0.24274000000000001</v>
      </c>
      <c r="P115" s="177">
        <f t="shared" si="1"/>
        <v>4.6120600000000005</v>
      </c>
      <c r="Q115" s="177">
        <v>2.7599999999999999E-3</v>
      </c>
      <c r="R115" s="177">
        <f t="shared" si="2"/>
        <v>5.2440000000000001E-2</v>
      </c>
      <c r="S115" s="177">
        <v>0</v>
      </c>
      <c r="T115" s="178">
        <f t="shared" si="3"/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 t="shared" si="4"/>
        <v>0</v>
      </c>
      <c r="BF115" s="138">
        <f t="shared" si="5"/>
        <v>0</v>
      </c>
      <c r="BG115" s="138">
        <f t="shared" si="6"/>
        <v>0</v>
      </c>
      <c r="BH115" s="138">
        <f t="shared" si="7"/>
        <v>0</v>
      </c>
      <c r="BI115" s="138">
        <f t="shared" si="8"/>
        <v>0</v>
      </c>
      <c r="BJ115" s="128" t="s">
        <v>88</v>
      </c>
      <c r="BK115" s="166">
        <f t="shared" si="9"/>
        <v>0</v>
      </c>
      <c r="BL115" s="128" t="s">
        <v>197</v>
      </c>
      <c r="BM115" s="128" t="s">
        <v>318</v>
      </c>
    </row>
    <row r="116" spans="2:65" s="26" customFormat="1" ht="16.5" customHeight="1" x14ac:dyDescent="0.25">
      <c r="B116" s="169"/>
      <c r="C116" s="187" t="s">
        <v>435</v>
      </c>
      <c r="D116" s="187" t="s">
        <v>261</v>
      </c>
      <c r="E116" s="188" t="s">
        <v>319</v>
      </c>
      <c r="F116" s="189" t="s">
        <v>320</v>
      </c>
      <c r="G116" s="190" t="s">
        <v>205</v>
      </c>
      <c r="H116" s="191">
        <v>19</v>
      </c>
      <c r="I116" s="191"/>
      <c r="J116" s="191">
        <f t="shared" si="0"/>
        <v>0</v>
      </c>
      <c r="K116" s="189" t="s">
        <v>9</v>
      </c>
      <c r="L116" s="199"/>
      <c r="M116" s="200" t="s">
        <v>9</v>
      </c>
      <c r="N116" s="201" t="s">
        <v>27</v>
      </c>
      <c r="O116" s="177">
        <v>0</v>
      </c>
      <c r="P116" s="177">
        <f t="shared" si="1"/>
        <v>0</v>
      </c>
      <c r="Q116" s="177">
        <v>8.4999999999999995E-4</v>
      </c>
      <c r="R116" s="177">
        <f t="shared" si="2"/>
        <v>1.6149999999999998E-2</v>
      </c>
      <c r="S116" s="177">
        <v>0</v>
      </c>
      <c r="T116" s="178">
        <f t="shared" si="3"/>
        <v>0</v>
      </c>
      <c r="AR116" s="128" t="s">
        <v>286</v>
      </c>
      <c r="AT116" s="128" t="s">
        <v>261</v>
      </c>
      <c r="AU116" s="128" t="s">
        <v>88</v>
      </c>
      <c r="AY116" s="128" t="s">
        <v>126</v>
      </c>
      <c r="BE116" s="138">
        <f t="shared" si="4"/>
        <v>0</v>
      </c>
      <c r="BF116" s="138">
        <f t="shared" si="5"/>
        <v>0</v>
      </c>
      <c r="BG116" s="138">
        <f t="shared" si="6"/>
        <v>0</v>
      </c>
      <c r="BH116" s="138">
        <f t="shared" si="7"/>
        <v>0</v>
      </c>
      <c r="BI116" s="138">
        <f t="shared" si="8"/>
        <v>0</v>
      </c>
      <c r="BJ116" s="128" t="s">
        <v>88</v>
      </c>
      <c r="BK116" s="166">
        <f t="shared" si="9"/>
        <v>0</v>
      </c>
      <c r="BL116" s="128" t="s">
        <v>197</v>
      </c>
      <c r="BM116" s="128" t="s">
        <v>321</v>
      </c>
    </row>
    <row r="117" spans="2:65" s="26" customFormat="1" ht="16.5" customHeight="1" x14ac:dyDescent="0.25">
      <c r="B117" s="169"/>
      <c r="C117" s="170" t="s">
        <v>436</v>
      </c>
      <c r="D117" s="170" t="s">
        <v>129</v>
      </c>
      <c r="E117" s="171" t="s">
        <v>322</v>
      </c>
      <c r="F117" s="172" t="s">
        <v>323</v>
      </c>
      <c r="G117" s="173" t="s">
        <v>324</v>
      </c>
      <c r="H117" s="174">
        <f>SUM(J102:J116)/100*1.3</f>
        <v>0</v>
      </c>
      <c r="I117" s="174"/>
      <c r="J117" s="174">
        <f t="shared" si="0"/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</v>
      </c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 t="shared" si="4"/>
        <v>0</v>
      </c>
      <c r="BF117" s="138">
        <f t="shared" si="5"/>
        <v>0</v>
      </c>
      <c r="BG117" s="138">
        <f t="shared" si="6"/>
        <v>0</v>
      </c>
      <c r="BH117" s="138">
        <f t="shared" si="7"/>
        <v>0</v>
      </c>
      <c r="BI117" s="138">
        <f t="shared" si="8"/>
        <v>0</v>
      </c>
      <c r="BJ117" s="128" t="s">
        <v>88</v>
      </c>
      <c r="BK117" s="166">
        <f t="shared" si="9"/>
        <v>0</v>
      </c>
      <c r="BL117" s="128" t="s">
        <v>197</v>
      </c>
      <c r="BM117" s="128" t="s">
        <v>325</v>
      </c>
    </row>
    <row r="118" spans="2:65" s="158" customFormat="1" ht="22.9" customHeight="1" x14ac:dyDescent="0.2">
      <c r="B118" s="157"/>
      <c r="D118" s="159" t="s">
        <v>123</v>
      </c>
      <c r="E118" s="167" t="s">
        <v>326</v>
      </c>
      <c r="F118" s="167" t="s">
        <v>327</v>
      </c>
      <c r="J118" s="168">
        <f>BK118</f>
        <v>0</v>
      </c>
      <c r="L118" s="157"/>
      <c r="M118" s="162"/>
      <c r="P118" s="163">
        <f>SUM(P119:P122)</f>
        <v>406.69280000000003</v>
      </c>
      <c r="R118" s="163">
        <f>SUM(R119:R122)</f>
        <v>6.0979970000000003</v>
      </c>
      <c r="T118" s="164">
        <f>SUM(T119:T122)</f>
        <v>0</v>
      </c>
      <c r="AR118" s="159" t="s">
        <v>88</v>
      </c>
      <c r="AT118" s="165" t="s">
        <v>123</v>
      </c>
      <c r="AU118" s="165" t="s">
        <v>42</v>
      </c>
      <c r="AY118" s="159" t="s">
        <v>126</v>
      </c>
      <c r="BK118" s="166">
        <f>SUM(BK119:BK122)</f>
        <v>0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328</v>
      </c>
      <c r="F119" s="172" t="s">
        <v>329</v>
      </c>
      <c r="G119" s="173" t="s">
        <v>136</v>
      </c>
      <c r="H119" s="174">
        <f>824*1.05</f>
        <v>865.2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0.46400000000000002</v>
      </c>
      <c r="P119" s="177">
        <f>O119*H119</f>
        <v>401.45280000000002</v>
      </c>
      <c r="Q119" s="177">
        <v>4.0000000000000001E-3</v>
      </c>
      <c r="R119" s="177">
        <f>Q119*H119</f>
        <v>3.4608000000000003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330</v>
      </c>
    </row>
    <row r="120" spans="2:65" s="26" customFormat="1" ht="16.5" customHeight="1" x14ac:dyDescent="0.25">
      <c r="B120" s="169"/>
      <c r="C120" s="187" t="s">
        <v>437</v>
      </c>
      <c r="D120" s="187" t="s">
        <v>261</v>
      </c>
      <c r="E120" s="188" t="s">
        <v>331</v>
      </c>
      <c r="F120" s="189" t="s">
        <v>332</v>
      </c>
      <c r="G120" s="190" t="s">
        <v>136</v>
      </c>
      <c r="H120" s="191">
        <f>H119*1.15</f>
        <v>994.98</v>
      </c>
      <c r="I120" s="191"/>
      <c r="J120" s="191">
        <f>ROUND(I120*H120,3)</f>
        <v>0</v>
      </c>
      <c r="K120" s="189" t="s">
        <v>156</v>
      </c>
      <c r="L120" s="199"/>
      <c r="M120" s="200" t="s">
        <v>9</v>
      </c>
      <c r="N120" s="201" t="s">
        <v>27</v>
      </c>
      <c r="O120" s="177">
        <v>0</v>
      </c>
      <c r="P120" s="177">
        <f>O120*H120</f>
        <v>0</v>
      </c>
      <c r="Q120" s="177">
        <v>2.65E-3</v>
      </c>
      <c r="R120" s="177">
        <f>Q120*H120</f>
        <v>2.6366969999999998</v>
      </c>
      <c r="S120" s="177">
        <v>0</v>
      </c>
      <c r="T120" s="178">
        <f>S120*H120</f>
        <v>0</v>
      </c>
      <c r="AR120" s="128" t="s">
        <v>286</v>
      </c>
      <c r="AT120" s="128" t="s">
        <v>261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333</v>
      </c>
    </row>
    <row r="121" spans="2:65" s="26" customFormat="1" ht="16.5" customHeight="1" x14ac:dyDescent="0.25">
      <c r="B121" s="169"/>
      <c r="C121" s="170" t="s">
        <v>438</v>
      </c>
      <c r="D121" s="170" t="s">
        <v>129</v>
      </c>
      <c r="E121" s="171" t="s">
        <v>335</v>
      </c>
      <c r="F121" s="172" t="s">
        <v>336</v>
      </c>
      <c r="G121" s="173" t="s">
        <v>234</v>
      </c>
      <c r="H121" s="174">
        <v>10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0.52400000000000002</v>
      </c>
      <c r="P121" s="177">
        <f>O121*H121</f>
        <v>5.24</v>
      </c>
      <c r="Q121" s="177">
        <v>5.0000000000000002E-5</v>
      </c>
      <c r="R121" s="177">
        <f>Q121*H121</f>
        <v>5.0000000000000001E-4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337</v>
      </c>
    </row>
    <row r="122" spans="2:65" s="26" customFormat="1" ht="16.5" customHeight="1" x14ac:dyDescent="0.25">
      <c r="B122" s="169"/>
      <c r="C122" s="170" t="s">
        <v>439</v>
      </c>
      <c r="D122" s="170" t="s">
        <v>129</v>
      </c>
      <c r="E122" s="171" t="s">
        <v>338</v>
      </c>
      <c r="F122" s="172" t="s">
        <v>339</v>
      </c>
      <c r="G122" s="173" t="s">
        <v>324</v>
      </c>
      <c r="H122" s="174">
        <f>SUM(J119:J121)/100*1.3</f>
        <v>0</v>
      </c>
      <c r="I122" s="174"/>
      <c r="J122" s="174">
        <f>ROUND(I122*H122,3)</f>
        <v>0</v>
      </c>
      <c r="K122" s="172" t="s">
        <v>156</v>
      </c>
      <c r="L122" s="132"/>
      <c r="M122" s="175" t="s">
        <v>9</v>
      </c>
      <c r="N122" s="176" t="s">
        <v>27</v>
      </c>
      <c r="O122" s="177">
        <v>0</v>
      </c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197</v>
      </c>
      <c r="BM122" s="128" t="s">
        <v>340</v>
      </c>
    </row>
    <row r="123" spans="2:65" s="158" customFormat="1" ht="22.9" customHeight="1" x14ac:dyDescent="0.2">
      <c r="B123" s="157"/>
      <c r="D123" s="159" t="s">
        <v>123</v>
      </c>
      <c r="E123" s="167" t="s">
        <v>223</v>
      </c>
      <c r="F123" s="167" t="s">
        <v>224</v>
      </c>
      <c r="J123" s="168">
        <f>BK123</f>
        <v>0</v>
      </c>
      <c r="L123" s="157"/>
      <c r="M123" s="162"/>
      <c r="P123" s="163">
        <f>SUM(P124:P131)</f>
        <v>350.03085700000003</v>
      </c>
      <c r="R123" s="163">
        <f>SUM(R124:R131)</f>
        <v>1.7082560000000002</v>
      </c>
      <c r="T123" s="164">
        <f>SUM(T124:T131)</f>
        <v>0</v>
      </c>
      <c r="AR123" s="159" t="s">
        <v>88</v>
      </c>
      <c r="AT123" s="165" t="s">
        <v>123</v>
      </c>
      <c r="AU123" s="165" t="s">
        <v>42</v>
      </c>
      <c r="AY123" s="159" t="s">
        <v>126</v>
      </c>
      <c r="BK123" s="166">
        <f>SUM(BK124:BK131)</f>
        <v>0</v>
      </c>
    </row>
    <row r="124" spans="2:65" s="26" customFormat="1" ht="16.5" customHeight="1" x14ac:dyDescent="0.25">
      <c r="B124" s="169"/>
      <c r="C124" s="170" t="s">
        <v>440</v>
      </c>
      <c r="D124" s="170" t="s">
        <v>129</v>
      </c>
      <c r="E124" s="171" t="s">
        <v>341</v>
      </c>
      <c r="F124" s="172" t="s">
        <v>342</v>
      </c>
      <c r="G124" s="173" t="s">
        <v>230</v>
      </c>
      <c r="H124" s="174">
        <f>63*1.1</f>
        <v>69.300000000000011</v>
      </c>
      <c r="I124" s="174"/>
      <c r="J124" s="174">
        <f>ROUND(I124*H124,3)</f>
        <v>0</v>
      </c>
      <c r="K124" s="172" t="s">
        <v>156</v>
      </c>
      <c r="L124" s="132"/>
      <c r="M124" s="175" t="s">
        <v>9</v>
      </c>
      <c r="N124" s="176" t="s">
        <v>27</v>
      </c>
      <c r="O124" s="177">
        <v>0.44508999999999999</v>
      </c>
      <c r="P124" s="177">
        <f>O124*H124</f>
        <v>30.844737000000006</v>
      </c>
      <c r="Q124" s="177">
        <v>2.0899999999999998E-3</v>
      </c>
      <c r="R124" s="177">
        <f>Q124*H124</f>
        <v>0.14483700000000002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343</v>
      </c>
    </row>
    <row r="125" spans="2:65" s="26" customFormat="1" ht="16.5" customHeight="1" x14ac:dyDescent="0.25">
      <c r="B125" s="169"/>
      <c r="C125" s="170" t="s">
        <v>441</v>
      </c>
      <c r="D125" s="170" t="s">
        <v>129</v>
      </c>
      <c r="E125" s="171" t="s">
        <v>347</v>
      </c>
      <c r="F125" s="172" t="s">
        <v>348</v>
      </c>
      <c r="G125" s="173" t="s">
        <v>230</v>
      </c>
      <c r="H125" s="174">
        <f>202*1.1</f>
        <v>222.20000000000002</v>
      </c>
      <c r="I125" s="174"/>
      <c r="J125" s="174">
        <f>ROUND(I125*H125,3)</f>
        <v>0</v>
      </c>
      <c r="K125" s="172" t="s">
        <v>156</v>
      </c>
      <c r="L125" s="132"/>
      <c r="M125" s="175" t="s">
        <v>9</v>
      </c>
      <c r="N125" s="176" t="s">
        <v>27</v>
      </c>
      <c r="O125" s="177">
        <v>0.69799999999999995</v>
      </c>
      <c r="P125" s="177">
        <f>O125*H125</f>
        <v>155.09559999999999</v>
      </c>
      <c r="Q125" s="177">
        <v>3.4399999999999999E-3</v>
      </c>
      <c r="R125" s="177">
        <f>Q125*H125</f>
        <v>0.76436800000000005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349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669</v>
      </c>
      <c r="H126" s="166"/>
      <c r="L126" s="132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 t="s">
        <v>442</v>
      </c>
      <c r="D127" s="170" t="s">
        <v>129</v>
      </c>
      <c r="E127" s="171" t="s">
        <v>351</v>
      </c>
      <c r="F127" s="172" t="s">
        <v>352</v>
      </c>
      <c r="G127" s="173" t="s">
        <v>230</v>
      </c>
      <c r="H127" s="174">
        <f>169*1.1</f>
        <v>185.9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0.83</v>
      </c>
      <c r="P127" s="177">
        <f>O127*H127</f>
        <v>154.297</v>
      </c>
      <c r="Q127" s="177">
        <v>4.2900000000000004E-3</v>
      </c>
      <c r="R127" s="177">
        <f>Q127*H127</f>
        <v>0.79751100000000008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353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355</v>
      </c>
      <c r="H128" s="166"/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ht="16.5" customHeight="1" x14ac:dyDescent="0.25">
      <c r="B129" s="169"/>
      <c r="C129" s="170" t="s">
        <v>444</v>
      </c>
      <c r="D129" s="170" t="s">
        <v>129</v>
      </c>
      <c r="E129" s="171" t="s">
        <v>362</v>
      </c>
      <c r="F129" s="172" t="s">
        <v>363</v>
      </c>
      <c r="G129" s="173" t="s">
        <v>230</v>
      </c>
      <c r="H129" s="174">
        <f>10*1.1</f>
        <v>11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0.89032</v>
      </c>
      <c r="P129" s="177">
        <f>O129*H129</f>
        <v>9.7935200000000009</v>
      </c>
      <c r="Q129" s="177">
        <v>1.3999999999999999E-4</v>
      </c>
      <c r="R129" s="177">
        <f>Q129*H129</f>
        <v>1.5399999999999999E-3</v>
      </c>
      <c r="S129" s="177">
        <v>0</v>
      </c>
      <c r="T129" s="178">
        <f>S129*H129</f>
        <v>0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364</v>
      </c>
    </row>
    <row r="130" spans="2:65" s="26" customFormat="1" ht="16.5" customHeight="1" x14ac:dyDescent="0.25">
      <c r="B130" s="169"/>
      <c r="C130" s="170" t="s">
        <v>447</v>
      </c>
      <c r="D130" s="170" t="s">
        <v>129</v>
      </c>
      <c r="E130" s="171" t="s">
        <v>365</v>
      </c>
      <c r="F130" s="172" t="s">
        <v>366</v>
      </c>
      <c r="G130" s="173" t="s">
        <v>234</v>
      </c>
      <c r="H130" s="174">
        <f>H124</f>
        <v>69.300000000000011</v>
      </c>
      <c r="I130" s="174"/>
      <c r="J130" s="174">
        <f>ROUND(I130*H130,3)</f>
        <v>0</v>
      </c>
      <c r="K130" s="172" t="s">
        <v>9</v>
      </c>
      <c r="L130" s="132"/>
      <c r="M130" s="175" t="s">
        <v>9</v>
      </c>
      <c r="N130" s="176" t="s">
        <v>27</v>
      </c>
      <c r="O130" s="177">
        <v>0</v>
      </c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367</v>
      </c>
    </row>
    <row r="131" spans="2:65" s="26" customFormat="1" ht="16.5" customHeight="1" x14ac:dyDescent="0.25">
      <c r="B131" s="169"/>
      <c r="C131" s="170" t="s">
        <v>448</v>
      </c>
      <c r="D131" s="170" t="s">
        <v>129</v>
      </c>
      <c r="E131" s="171" t="s">
        <v>368</v>
      </c>
      <c r="F131" s="172" t="s">
        <v>369</v>
      </c>
      <c r="G131" s="173" t="s">
        <v>324</v>
      </c>
      <c r="H131" s="174">
        <f>SUM(J124:J130)/100*1.3</f>
        <v>0</v>
      </c>
      <c r="I131" s="174"/>
      <c r="J131" s="174">
        <f>ROUND(I131*H131,3)</f>
        <v>0</v>
      </c>
      <c r="K131" s="172" t="s">
        <v>156</v>
      </c>
      <c r="L131" s="132"/>
      <c r="M131" s="175" t="s">
        <v>9</v>
      </c>
      <c r="N131" s="176" t="s">
        <v>27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370</v>
      </c>
    </row>
    <row r="132" spans="2:65" s="158" customFormat="1" ht="25.9" customHeight="1" x14ac:dyDescent="0.2">
      <c r="B132" s="157"/>
      <c r="D132" s="159" t="s">
        <v>123</v>
      </c>
      <c r="E132" s="160" t="s">
        <v>261</v>
      </c>
      <c r="F132" s="160" t="s">
        <v>383</v>
      </c>
      <c r="J132" s="161">
        <f>BK132</f>
        <v>0</v>
      </c>
      <c r="L132" s="157"/>
      <c r="M132" s="162"/>
      <c r="P132" s="163">
        <f>P133</f>
        <v>0.15</v>
      </c>
      <c r="R132" s="163">
        <f>R133</f>
        <v>0</v>
      </c>
      <c r="T132" s="164">
        <f>T133</f>
        <v>0</v>
      </c>
      <c r="AR132" s="159" t="s">
        <v>140</v>
      </c>
      <c r="AT132" s="165" t="s">
        <v>123</v>
      </c>
      <c r="AU132" s="165" t="s">
        <v>39</v>
      </c>
      <c r="AY132" s="159" t="s">
        <v>126</v>
      </c>
      <c r="BK132" s="166">
        <f>BK133</f>
        <v>0</v>
      </c>
    </row>
    <row r="133" spans="2:65" s="158" customFormat="1" ht="22.9" customHeight="1" x14ac:dyDescent="0.2">
      <c r="B133" s="157"/>
      <c r="D133" s="159" t="s">
        <v>123</v>
      </c>
      <c r="E133" s="167" t="s">
        <v>384</v>
      </c>
      <c r="F133" s="167" t="s">
        <v>385</v>
      </c>
      <c r="J133" s="168">
        <f>BK133</f>
        <v>0</v>
      </c>
      <c r="L133" s="157"/>
      <c r="M133" s="162"/>
      <c r="P133" s="163">
        <f>P134</f>
        <v>0.15</v>
      </c>
      <c r="R133" s="163">
        <f>R134</f>
        <v>0</v>
      </c>
      <c r="T133" s="164">
        <f>T134</f>
        <v>0</v>
      </c>
      <c r="AR133" s="159" t="s">
        <v>140</v>
      </c>
      <c r="AT133" s="165" t="s">
        <v>123</v>
      </c>
      <c r="AU133" s="165" t="s">
        <v>42</v>
      </c>
      <c r="AY133" s="159" t="s">
        <v>126</v>
      </c>
      <c r="BK133" s="166">
        <f>BK134</f>
        <v>0</v>
      </c>
    </row>
    <row r="134" spans="2:65" s="26" customFormat="1" ht="16.5" customHeight="1" x14ac:dyDescent="0.25">
      <c r="B134" s="169"/>
      <c r="C134" s="170" t="s">
        <v>450</v>
      </c>
      <c r="D134" s="170" t="s">
        <v>129</v>
      </c>
      <c r="E134" s="171" t="s">
        <v>386</v>
      </c>
      <c r="F134" s="172" t="s">
        <v>387</v>
      </c>
      <c r="G134" s="173" t="s">
        <v>153</v>
      </c>
      <c r="H134" s="174">
        <v>1</v>
      </c>
      <c r="I134" s="174"/>
      <c r="J134" s="174">
        <f>ROUND(I134*H134,3)</f>
        <v>0</v>
      </c>
      <c r="K134" s="172" t="s">
        <v>9</v>
      </c>
      <c r="L134" s="132"/>
      <c r="M134" s="183" t="s">
        <v>9</v>
      </c>
      <c r="N134" s="184" t="s">
        <v>27</v>
      </c>
      <c r="O134" s="185">
        <v>0.15</v>
      </c>
      <c r="P134" s="185">
        <f>O134*H134</f>
        <v>0.15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AR134" s="128" t="s">
        <v>388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388</v>
      </c>
      <c r="BM134" s="128" t="s">
        <v>389</v>
      </c>
    </row>
    <row r="135" spans="2:65" s="26" customFormat="1" ht="16.5" customHeight="1" x14ac:dyDescent="0.25">
      <c r="B135" s="169"/>
      <c r="C135" s="194"/>
      <c r="D135" s="194"/>
      <c r="E135" s="195"/>
      <c r="F135" s="196"/>
      <c r="G135" s="197"/>
      <c r="H135" s="198"/>
      <c r="I135" s="198"/>
      <c r="J135" s="198"/>
      <c r="K135" s="196"/>
      <c r="L135" s="132"/>
      <c r="M135" s="128"/>
      <c r="N135" s="176"/>
      <c r="O135" s="177"/>
      <c r="P135" s="177"/>
      <c r="Q135" s="177"/>
      <c r="R135" s="177"/>
      <c r="S135" s="177"/>
      <c r="T135" s="177"/>
      <c r="AR135" s="128"/>
      <c r="AT135" s="128"/>
      <c r="AU135" s="128"/>
      <c r="AY135" s="128"/>
      <c r="BE135" s="138"/>
      <c r="BF135" s="138"/>
      <c r="BG135" s="138"/>
      <c r="BH135" s="138"/>
      <c r="BI135" s="138"/>
      <c r="BJ135" s="128"/>
      <c r="BK135" s="166"/>
      <c r="BL135" s="128"/>
      <c r="BM135" s="128"/>
    </row>
    <row r="136" spans="2:65" s="158" customFormat="1" ht="25.9" customHeight="1" x14ac:dyDescent="0.2">
      <c r="B136" s="157"/>
      <c r="D136" s="159"/>
      <c r="E136" s="160"/>
      <c r="F136" s="160" t="s">
        <v>390</v>
      </c>
      <c r="J136" s="161">
        <f>J137</f>
        <v>0</v>
      </c>
      <c r="L136" s="157"/>
      <c r="M136" s="162"/>
      <c r="P136" s="163">
        <f>P137</f>
        <v>0.66</v>
      </c>
      <c r="R136" s="163">
        <f>R137</f>
        <v>0</v>
      </c>
      <c r="T136" s="164">
        <f>T137</f>
        <v>0</v>
      </c>
      <c r="AR136" s="159" t="s">
        <v>140</v>
      </c>
      <c r="AT136" s="165" t="s">
        <v>123</v>
      </c>
      <c r="AU136" s="165" t="s">
        <v>39</v>
      </c>
      <c r="AY136" s="159" t="s">
        <v>126</v>
      </c>
      <c r="BK136" s="166">
        <f>BK137</f>
        <v>0</v>
      </c>
    </row>
    <row r="137" spans="2:65" s="158" customFormat="1" ht="22.9" customHeight="1" x14ac:dyDescent="0.2">
      <c r="B137" s="157"/>
      <c r="D137" s="159" t="s">
        <v>391</v>
      </c>
      <c r="E137" s="167">
        <v>0</v>
      </c>
      <c r="F137" s="167" t="s">
        <v>392</v>
      </c>
      <c r="J137" s="168">
        <f>SUM(J138:J141)</f>
        <v>0</v>
      </c>
      <c r="L137" s="157"/>
      <c r="M137" s="162"/>
      <c r="P137" s="163">
        <f>P138</f>
        <v>0.66</v>
      </c>
      <c r="R137" s="163">
        <f>R138</f>
        <v>0</v>
      </c>
      <c r="T137" s="164">
        <f>T138</f>
        <v>0</v>
      </c>
      <c r="AR137" s="159" t="s">
        <v>140</v>
      </c>
      <c r="AT137" s="165" t="s">
        <v>123</v>
      </c>
      <c r="AU137" s="165" t="s">
        <v>42</v>
      </c>
      <c r="AY137" s="159" t="s">
        <v>126</v>
      </c>
      <c r="BK137" s="166">
        <f>BK138</f>
        <v>0</v>
      </c>
    </row>
    <row r="138" spans="2:65" s="26" customFormat="1" ht="16.5" customHeight="1" x14ac:dyDescent="0.25">
      <c r="B138" s="169"/>
      <c r="C138" s="170">
        <v>31</v>
      </c>
      <c r="D138" s="170" t="s">
        <v>129</v>
      </c>
      <c r="E138" s="171" t="s">
        <v>393</v>
      </c>
      <c r="F138" s="172" t="s">
        <v>394</v>
      </c>
      <c r="G138" s="173" t="s">
        <v>324</v>
      </c>
      <c r="H138" s="174">
        <f>'[1]K montáž - skúška 1.1'!H130</f>
        <v>4.4000000000000004</v>
      </c>
      <c r="I138" s="174"/>
      <c r="J138" s="174">
        <f>ROUND(I138*H138,3)</f>
        <v>0</v>
      </c>
      <c r="K138" s="172" t="s">
        <v>9</v>
      </c>
      <c r="L138" s="132"/>
      <c r="M138" s="183" t="s">
        <v>9</v>
      </c>
      <c r="N138" s="184" t="s">
        <v>27</v>
      </c>
      <c r="O138" s="185">
        <v>0.15</v>
      </c>
      <c r="P138" s="185">
        <f>O138*H138</f>
        <v>0.66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AR138" s="128" t="s">
        <v>388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388</v>
      </c>
      <c r="BM138" s="128" t="s">
        <v>389</v>
      </c>
    </row>
    <row r="139" spans="2:65" s="26" customFormat="1" ht="16.5" customHeight="1" x14ac:dyDescent="0.25">
      <c r="B139" s="169"/>
      <c r="C139" s="170">
        <v>32</v>
      </c>
      <c r="D139" s="170" t="s">
        <v>129</v>
      </c>
      <c r="E139" s="171" t="s">
        <v>395</v>
      </c>
      <c r="F139" s="172" t="s">
        <v>396</v>
      </c>
      <c r="G139" s="173" t="s">
        <v>324</v>
      </c>
      <c r="H139" s="174">
        <f>'[1]K montáž - skúška 1.1'!H131</f>
        <v>1</v>
      </c>
      <c r="I139" s="174"/>
      <c r="J139" s="174">
        <f>ROUND(I139*H139,3)</f>
        <v>0</v>
      </c>
      <c r="K139" s="172" t="s">
        <v>9</v>
      </c>
      <c r="L139" s="132"/>
      <c r="M139" s="183" t="s">
        <v>9</v>
      </c>
      <c r="N139" s="184" t="s">
        <v>27</v>
      </c>
      <c r="O139" s="185">
        <v>0.15</v>
      </c>
      <c r="P139" s="185">
        <f>O139*H139</f>
        <v>0.15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128" t="s">
        <v>388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388</v>
      </c>
      <c r="BM139" s="128" t="s">
        <v>389</v>
      </c>
    </row>
    <row r="140" spans="2:65" s="26" customFormat="1" ht="16.5" customHeight="1" x14ac:dyDescent="0.25">
      <c r="B140" s="169"/>
      <c r="C140" s="170">
        <v>33</v>
      </c>
      <c r="D140" s="170" t="s">
        <v>129</v>
      </c>
      <c r="E140" s="171" t="s">
        <v>397</v>
      </c>
      <c r="F140" s="172" t="s">
        <v>398</v>
      </c>
      <c r="G140" s="173" t="s">
        <v>399</v>
      </c>
      <c r="H140" s="174">
        <f>H102*0.15</f>
        <v>452.55</v>
      </c>
      <c r="I140" s="174"/>
      <c r="J140" s="174">
        <f>ROUND(I140*H140,3)</f>
        <v>0</v>
      </c>
      <c r="K140" s="172"/>
      <c r="L140" s="132"/>
      <c r="M140" s="183"/>
      <c r="N140" s="184"/>
      <c r="O140" s="185"/>
      <c r="P140" s="185"/>
      <c r="Q140" s="185"/>
      <c r="R140" s="185"/>
      <c r="S140" s="185"/>
      <c r="T140" s="186"/>
      <c r="AR140" s="128"/>
      <c r="AT140" s="128"/>
      <c r="AU140" s="128"/>
      <c r="AY140" s="128"/>
      <c r="BE140" s="138"/>
      <c r="BF140" s="138"/>
      <c r="BG140" s="138"/>
      <c r="BH140" s="138"/>
      <c r="BI140" s="138"/>
      <c r="BJ140" s="128"/>
      <c r="BK140" s="166"/>
      <c r="BL140" s="128"/>
      <c r="BM140" s="128"/>
    </row>
    <row r="141" spans="2:65" s="26" customFormat="1" ht="16.5" customHeight="1" x14ac:dyDescent="0.25">
      <c r="B141" s="169"/>
      <c r="C141" s="170" t="s">
        <v>517</v>
      </c>
      <c r="D141" s="170" t="s">
        <v>129</v>
      </c>
      <c r="E141" s="171" t="s">
        <v>397</v>
      </c>
      <c r="F141" s="172" t="s">
        <v>401</v>
      </c>
      <c r="G141" s="173" t="s">
        <v>324</v>
      </c>
      <c r="H141" s="174">
        <f>'[1]K montáž - skúška 1.1'!H133</f>
        <v>12.1</v>
      </c>
      <c r="I141" s="174"/>
      <c r="J141" s="174">
        <f>ROUND(I141*H141,3)</f>
        <v>0</v>
      </c>
      <c r="K141" s="172" t="s">
        <v>9</v>
      </c>
      <c r="L141" s="132"/>
      <c r="M141" s="183" t="s">
        <v>9</v>
      </c>
      <c r="N141" s="184" t="s">
        <v>27</v>
      </c>
      <c r="O141" s="185">
        <v>0.15</v>
      </c>
      <c r="P141" s="185">
        <f>O141*H141</f>
        <v>1.8149999999999999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AR141" s="128" t="s">
        <v>388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388</v>
      </c>
      <c r="BM141" s="128" t="s">
        <v>389</v>
      </c>
    </row>
    <row r="142" spans="2:65" s="26" customFormat="1" ht="6.95" customHeight="1" x14ac:dyDescent="0.25">
      <c r="B142" s="141"/>
      <c r="C142" s="36"/>
      <c r="D142" s="36"/>
      <c r="E142" s="36"/>
      <c r="F142" s="36"/>
      <c r="G142" s="36"/>
      <c r="H142" s="36"/>
      <c r="I142" s="36"/>
      <c r="J142" s="36"/>
      <c r="K142" s="36"/>
      <c r="L142" s="132"/>
    </row>
  </sheetData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59"/>
  <sheetViews>
    <sheetView topLeftCell="A76" zoomScale="70" zoomScaleNormal="70" workbookViewId="0">
      <selection activeCell="I92" sqref="I92:I159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10.5703125" style="13" customWidth="1"/>
    <col min="13" max="13" width="12.85546875" style="13" customWidth="1"/>
    <col min="14" max="14" width="9.42578125" style="13" customWidth="1"/>
    <col min="15" max="15" width="12.85546875" style="13" customWidth="1"/>
    <col min="16" max="16" width="14" style="13" customWidth="1"/>
    <col min="17" max="17" width="9.42578125" style="13" customWidth="1"/>
    <col min="18" max="18" width="12.85546875" style="13" customWidth="1"/>
    <col min="19" max="19" width="14" style="13" customWidth="1"/>
    <col min="20" max="16384" width="7.85546875" style="13"/>
  </cols>
  <sheetData>
    <row r="1" spans="1:44" x14ac:dyDescent="0.2">
      <c r="A1" s="127"/>
    </row>
    <row r="2" spans="1:44" x14ac:dyDescent="0.2">
      <c r="AH2" s="128" t="s">
        <v>45</v>
      </c>
      <c r="AN2" s="128" t="s">
        <v>247</v>
      </c>
      <c r="AO2" s="128" t="s">
        <v>248</v>
      </c>
      <c r="AP2" s="128" t="s">
        <v>9</v>
      </c>
      <c r="AQ2" s="128" t="s">
        <v>249</v>
      </c>
      <c r="AR2" s="128" t="s">
        <v>88</v>
      </c>
    </row>
    <row r="3" spans="1:44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AH3" s="128" t="s">
        <v>39</v>
      </c>
    </row>
    <row r="4" spans="1:44" ht="18" x14ac:dyDescent="0.2">
      <c r="B4" s="130"/>
      <c r="D4" s="131" t="s">
        <v>92</v>
      </c>
      <c r="AH4" s="128" t="s">
        <v>1</v>
      </c>
    </row>
    <row r="5" spans="1:44" x14ac:dyDescent="0.2">
      <c r="B5" s="130"/>
    </row>
    <row r="6" spans="1:44" x14ac:dyDescent="0.2">
      <c r="B6" s="130"/>
      <c r="D6" s="128" t="s">
        <v>7</v>
      </c>
    </row>
    <row r="7" spans="1:44" x14ac:dyDescent="0.2">
      <c r="B7" s="130"/>
      <c r="E7" s="278" t="str">
        <f>'Rekapitulácia stavby'!K6</f>
        <v>Nemocnica Sv. Cyrila a Metoda v Bratislave</v>
      </c>
      <c r="F7" s="279"/>
      <c r="G7" s="279"/>
      <c r="H7" s="279"/>
    </row>
    <row r="8" spans="1:44" s="26" customFormat="1" x14ac:dyDescent="0.25">
      <c r="B8" s="132"/>
      <c r="D8" s="128" t="s">
        <v>96</v>
      </c>
    </row>
    <row r="9" spans="1:44" s="26" customFormat="1" ht="15" customHeight="1" x14ac:dyDescent="0.25">
      <c r="B9" s="132"/>
      <c r="E9" s="276" t="s">
        <v>404</v>
      </c>
      <c r="F9" s="277"/>
      <c r="G9" s="277"/>
      <c r="H9" s="277"/>
    </row>
    <row r="10" spans="1:44" s="26" customFormat="1" x14ac:dyDescent="0.25">
      <c r="B10" s="132"/>
    </row>
    <row r="11" spans="1:44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</row>
    <row r="12" spans="1:44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</row>
    <row r="13" spans="1:44" s="26" customFormat="1" x14ac:dyDescent="0.25">
      <c r="B13" s="132"/>
    </row>
    <row r="14" spans="1:44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</row>
    <row r="15" spans="1:44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</row>
    <row r="16" spans="1:44" s="26" customFormat="1" x14ac:dyDescent="0.25">
      <c r="B16" s="132"/>
    </row>
    <row r="17" spans="2:11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</row>
    <row r="18" spans="2:11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</row>
    <row r="19" spans="2:11" s="26" customFormat="1" x14ac:dyDescent="0.25">
      <c r="B19" s="132"/>
    </row>
    <row r="20" spans="2:11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</row>
    <row r="21" spans="2:11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</row>
    <row r="22" spans="2:11" s="26" customFormat="1" x14ac:dyDescent="0.25">
      <c r="B22" s="132"/>
    </row>
    <row r="23" spans="2:11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</row>
    <row r="24" spans="2:11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</row>
    <row r="25" spans="2:11" s="26" customFormat="1" x14ac:dyDescent="0.25">
      <c r="B25" s="132"/>
    </row>
    <row r="26" spans="2:11" s="26" customFormat="1" x14ac:dyDescent="0.25">
      <c r="B26" s="132"/>
      <c r="D26" s="128" t="s">
        <v>20</v>
      </c>
    </row>
    <row r="27" spans="2:11" s="42" customFormat="1" x14ac:dyDescent="0.25">
      <c r="B27" s="133"/>
      <c r="E27" s="278" t="s">
        <v>9</v>
      </c>
      <c r="F27" s="278"/>
      <c r="G27" s="278"/>
      <c r="H27" s="278"/>
    </row>
    <row r="28" spans="2:11" s="26" customFormat="1" x14ac:dyDescent="0.25">
      <c r="B28" s="132"/>
    </row>
    <row r="29" spans="2:11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</row>
    <row r="30" spans="2:11" s="26" customFormat="1" ht="15.75" x14ac:dyDescent="0.25">
      <c r="B30" s="132"/>
      <c r="D30" s="135" t="s">
        <v>21</v>
      </c>
      <c r="J30" s="136">
        <f>ROUND(J89, 2)</f>
        <v>0</v>
      </c>
    </row>
    <row r="31" spans="2:11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</row>
    <row r="32" spans="2:11" s="26" customFormat="1" x14ac:dyDescent="0.25">
      <c r="B32" s="132"/>
      <c r="F32" s="137" t="s">
        <v>23</v>
      </c>
      <c r="I32" s="137" t="s">
        <v>22</v>
      </c>
      <c r="J32" s="137" t="s">
        <v>24</v>
      </c>
    </row>
    <row r="33" spans="2:11" s="26" customFormat="1" x14ac:dyDescent="0.25">
      <c r="B33" s="132"/>
      <c r="D33" s="128" t="s">
        <v>25</v>
      </c>
      <c r="E33" s="128" t="s">
        <v>26</v>
      </c>
      <c r="F33" s="138" t="e">
        <f>ROUND((SUM(AS89:AS151)),  2)</f>
        <v>#REF!</v>
      </c>
      <c r="I33" s="139">
        <v>0.2</v>
      </c>
      <c r="J33" s="138" t="e">
        <f>ROUND(((SUM(AS89:AS151))*I33),  2)</f>
        <v>#REF!</v>
      </c>
    </row>
    <row r="34" spans="2:11" s="26" customFormat="1" x14ac:dyDescent="0.25">
      <c r="B34" s="132"/>
      <c r="E34" s="128" t="s">
        <v>27</v>
      </c>
      <c r="F34" s="138" t="e">
        <f>ROUND((SUM(AT89:AT151)),  2)</f>
        <v>#REF!</v>
      </c>
      <c r="I34" s="139">
        <v>0.2</v>
      </c>
      <c r="J34" s="138" t="e">
        <f>ROUND(((SUM(AT89:AT151))*I34),  2)</f>
        <v>#REF!</v>
      </c>
    </row>
    <row r="35" spans="2:11" s="26" customFormat="1" x14ac:dyDescent="0.25">
      <c r="B35" s="132"/>
      <c r="E35" s="128" t="s">
        <v>28</v>
      </c>
      <c r="F35" s="138" t="e">
        <f>ROUND((SUM(AU89:AU151)),  2)</f>
        <v>#REF!</v>
      </c>
      <c r="I35" s="139">
        <v>0.2</v>
      </c>
      <c r="J35" s="138">
        <f>0</f>
        <v>0</v>
      </c>
    </row>
    <row r="36" spans="2:11" s="26" customFormat="1" x14ac:dyDescent="0.25">
      <c r="B36" s="132"/>
      <c r="E36" s="128" t="s">
        <v>29</v>
      </c>
      <c r="F36" s="138" t="e">
        <f>ROUND((SUM(AV89:AV151)),  2)</f>
        <v>#REF!</v>
      </c>
      <c r="I36" s="139">
        <v>0.2</v>
      </c>
      <c r="J36" s="138">
        <f>0</f>
        <v>0</v>
      </c>
    </row>
    <row r="37" spans="2:11" s="26" customFormat="1" x14ac:dyDescent="0.25">
      <c r="B37" s="132"/>
      <c r="E37" s="128" t="s">
        <v>30</v>
      </c>
      <c r="F37" s="138" t="e">
        <f>ROUND((SUM(AW89:AW151)),  2)</f>
        <v>#REF!</v>
      </c>
      <c r="I37" s="139">
        <v>0</v>
      </c>
      <c r="J37" s="138">
        <f>0</f>
        <v>0</v>
      </c>
    </row>
    <row r="38" spans="2:11" s="26" customFormat="1" x14ac:dyDescent="0.25">
      <c r="B38" s="132"/>
    </row>
    <row r="39" spans="2:11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 t="e">
        <f>SUM(J30:J37)</f>
        <v>#REF!</v>
      </c>
      <c r="K39" s="140"/>
    </row>
    <row r="40" spans="2:11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</row>
    <row r="44" spans="2:11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</row>
    <row r="45" spans="2:11" s="26" customFormat="1" ht="18" x14ac:dyDescent="0.25">
      <c r="B45" s="132"/>
      <c r="C45" s="131" t="s">
        <v>97</v>
      </c>
    </row>
    <row r="46" spans="2:11" s="26" customFormat="1" x14ac:dyDescent="0.25">
      <c r="B46" s="132"/>
    </row>
    <row r="47" spans="2:11" s="26" customFormat="1" x14ac:dyDescent="0.25">
      <c r="B47" s="132"/>
      <c r="C47" s="128" t="s">
        <v>7</v>
      </c>
    </row>
    <row r="48" spans="2:11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</row>
    <row r="49" spans="2:35" s="26" customFormat="1" x14ac:dyDescent="0.25">
      <c r="B49" s="132"/>
      <c r="C49" s="128" t="s">
        <v>96</v>
      </c>
    </row>
    <row r="50" spans="2:35" s="26" customFormat="1" ht="15" customHeight="1" x14ac:dyDescent="0.25">
      <c r="B50" s="132"/>
      <c r="E50" s="276" t="str">
        <f>E9</f>
        <v xml:space="preserve">A - montáž </v>
      </c>
      <c r="F50" s="277"/>
      <c r="G50" s="277"/>
      <c r="H50" s="277"/>
    </row>
    <row r="51" spans="2:35" s="26" customFormat="1" x14ac:dyDescent="0.25">
      <c r="B51" s="132"/>
    </row>
    <row r="52" spans="2:35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</row>
    <row r="53" spans="2:35" s="26" customFormat="1" x14ac:dyDescent="0.25">
      <c r="B53" s="132"/>
    </row>
    <row r="54" spans="2:35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</row>
    <row r="55" spans="2:35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</row>
    <row r="56" spans="2:35" s="26" customFormat="1" x14ac:dyDescent="0.25">
      <c r="B56" s="132"/>
    </row>
    <row r="57" spans="2:35" s="26" customFormat="1" ht="12" x14ac:dyDescent="0.25">
      <c r="B57" s="132"/>
      <c r="C57" s="144" t="s">
        <v>98</v>
      </c>
      <c r="J57" s="145" t="s">
        <v>99</v>
      </c>
    </row>
    <row r="58" spans="2:35" s="26" customFormat="1" x14ac:dyDescent="0.25">
      <c r="B58" s="132"/>
    </row>
    <row r="59" spans="2:35" s="26" customFormat="1" ht="15.75" x14ac:dyDescent="0.25">
      <c r="B59" s="132"/>
      <c r="C59" s="146" t="s">
        <v>100</v>
      </c>
      <c r="J59" s="136">
        <f>J89</f>
        <v>0</v>
      </c>
      <c r="AI59" s="128" t="s">
        <v>101</v>
      </c>
    </row>
    <row r="60" spans="2:35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</row>
    <row r="61" spans="2:35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</row>
    <row r="62" spans="2:35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J101</f>
        <v>0</v>
      </c>
    </row>
    <row r="63" spans="2:35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J103</f>
        <v>0</v>
      </c>
    </row>
    <row r="64" spans="2:35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J104</f>
        <v>0</v>
      </c>
    </row>
    <row r="65" spans="2:11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J122</f>
        <v>0</v>
      </c>
    </row>
    <row r="66" spans="2:11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J128</f>
        <v>0</v>
      </c>
    </row>
    <row r="67" spans="2:11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J143</f>
        <v>0</v>
      </c>
    </row>
    <row r="68" spans="2:11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J149</f>
        <v>0</v>
      </c>
    </row>
    <row r="69" spans="2:11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J150</f>
        <v>0</v>
      </c>
    </row>
    <row r="70" spans="2:11" s="26" customFormat="1" x14ac:dyDescent="0.25">
      <c r="B70" s="132"/>
    </row>
    <row r="71" spans="2:11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</row>
    <row r="75" spans="2:11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</row>
    <row r="76" spans="2:11" s="26" customFormat="1" ht="18" x14ac:dyDescent="0.25">
      <c r="B76" s="132"/>
      <c r="C76" s="131" t="s">
        <v>109</v>
      </c>
    </row>
    <row r="77" spans="2:11" s="26" customFormat="1" x14ac:dyDescent="0.25">
      <c r="B77" s="132"/>
    </row>
    <row r="78" spans="2:11" s="26" customFormat="1" x14ac:dyDescent="0.25">
      <c r="B78" s="132"/>
      <c r="C78" s="128" t="s">
        <v>7</v>
      </c>
    </row>
    <row r="79" spans="2:11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</row>
    <row r="80" spans="2:11" s="26" customFormat="1" x14ac:dyDescent="0.25">
      <c r="B80" s="132"/>
      <c r="C80" s="128" t="s">
        <v>96</v>
      </c>
    </row>
    <row r="81" spans="2:53" s="26" customFormat="1" ht="16.5" customHeight="1" x14ac:dyDescent="0.25">
      <c r="B81" s="132"/>
      <c r="E81" s="276" t="s">
        <v>254</v>
      </c>
      <c r="F81" s="277"/>
      <c r="G81" s="277"/>
      <c r="H81" s="277"/>
    </row>
    <row r="82" spans="2:53" s="26" customFormat="1" ht="6.95" customHeight="1" x14ac:dyDescent="0.25">
      <c r="B82" s="132"/>
    </row>
    <row r="83" spans="2:53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</row>
    <row r="84" spans="2:53" s="26" customFormat="1" ht="6.95" customHeight="1" x14ac:dyDescent="0.25">
      <c r="B84" s="132"/>
    </row>
    <row r="85" spans="2:53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</row>
    <row r="86" spans="2:53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</row>
    <row r="87" spans="2:53" s="26" customFormat="1" ht="10.35" customHeight="1" x14ac:dyDescent="0.25">
      <c r="B87" s="132"/>
    </row>
    <row r="88" spans="2:53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</row>
    <row r="89" spans="2:53" s="26" customFormat="1" ht="22.9" customHeight="1" x14ac:dyDescent="0.25">
      <c r="B89" s="132"/>
      <c r="C89" s="146" t="s">
        <v>100</v>
      </c>
      <c r="J89" s="152">
        <f>J90+J103+J149+J153</f>
        <v>0</v>
      </c>
      <c r="AH89" s="128" t="s">
        <v>123</v>
      </c>
      <c r="AI89" s="128" t="s">
        <v>101</v>
      </c>
      <c r="AY89" s="156">
        <f>AY90+AY103+AY149</f>
        <v>0</v>
      </c>
    </row>
    <row r="90" spans="2:53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J91+J101</f>
        <v>0</v>
      </c>
      <c r="AF90" s="159" t="s">
        <v>42</v>
      </c>
      <c r="AH90" s="165" t="s">
        <v>123</v>
      </c>
      <c r="AI90" s="165" t="s">
        <v>39</v>
      </c>
      <c r="AM90" s="159" t="s">
        <v>126</v>
      </c>
      <c r="AY90" s="166">
        <f>AY91+AY101</f>
        <v>0</v>
      </c>
    </row>
    <row r="91" spans="2:53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SUM(J92:J99)</f>
        <v>0</v>
      </c>
      <c r="AF91" s="159" t="s">
        <v>42</v>
      </c>
      <c r="AH91" s="165" t="s">
        <v>123</v>
      </c>
      <c r="AI91" s="165" t="s">
        <v>42</v>
      </c>
      <c r="AM91" s="159" t="s">
        <v>126</v>
      </c>
      <c r="AY91" s="166">
        <f>SUM(AY92:AY100)</f>
        <v>0</v>
      </c>
    </row>
    <row r="92" spans="2:53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61</v>
      </c>
      <c r="I92" s="174"/>
      <c r="J92" s="174">
        <f>ROUND(I92*H92,3)</f>
        <v>0</v>
      </c>
      <c r="K92" s="172" t="s">
        <v>156</v>
      </c>
      <c r="AF92" s="128" t="s">
        <v>132</v>
      </c>
      <c r="AH92" s="128" t="s">
        <v>129</v>
      </c>
      <c r="AI92" s="128" t="s">
        <v>88</v>
      </c>
      <c r="AM92" s="128" t="s">
        <v>126</v>
      </c>
      <c r="AS92" s="138" t="e">
        <f>IF(#REF!="základná",J92,0)</f>
        <v>#REF!</v>
      </c>
      <c r="AT92" s="138" t="e">
        <f>IF(#REF!="znížená",J92,0)</f>
        <v>#REF!</v>
      </c>
      <c r="AU92" s="138" t="e">
        <f>IF(#REF!="zákl. prenesená",J92,0)</f>
        <v>#REF!</v>
      </c>
      <c r="AV92" s="138" t="e">
        <f>IF(#REF!="zníž. prenesená",J92,0)</f>
        <v>#REF!</v>
      </c>
      <c r="AW92" s="138" t="e">
        <f>IF(#REF!="nulová",J92,0)</f>
        <v>#REF!</v>
      </c>
      <c r="AX92" s="128" t="s">
        <v>88</v>
      </c>
      <c r="AY92" s="166">
        <f>ROUND(I92*H92,3)</f>
        <v>0</v>
      </c>
      <c r="AZ92" s="128" t="s">
        <v>132</v>
      </c>
      <c r="BA92" s="128" t="s">
        <v>257</v>
      </c>
    </row>
    <row r="93" spans="2:53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259</v>
      </c>
      <c r="G93" s="173" t="s">
        <v>136</v>
      </c>
      <c r="H93" s="174">
        <v>643</v>
      </c>
      <c r="I93" s="174"/>
      <c r="J93" s="174">
        <f t="shared" ref="J93:J99" si="0">ROUND(I93*H93,3)</f>
        <v>0</v>
      </c>
      <c r="K93" s="172" t="s">
        <v>156</v>
      </c>
      <c r="AF93" s="128" t="s">
        <v>132</v>
      </c>
      <c r="AH93" s="128" t="s">
        <v>129</v>
      </c>
      <c r="AI93" s="128" t="s">
        <v>88</v>
      </c>
      <c r="AM93" s="128" t="s">
        <v>126</v>
      </c>
      <c r="AS93" s="138" t="e">
        <f>IF(#REF!="základná",J93,0)</f>
        <v>#REF!</v>
      </c>
      <c r="AT93" s="138" t="e">
        <f>IF(#REF!="znížená",J93,0)</f>
        <v>#REF!</v>
      </c>
      <c r="AU93" s="138" t="e">
        <f>IF(#REF!="zákl. prenesená",J93,0)</f>
        <v>#REF!</v>
      </c>
      <c r="AV93" s="138" t="e">
        <f>IF(#REF!="zníž. prenesená",J93,0)</f>
        <v>#REF!</v>
      </c>
      <c r="AW93" s="138" t="e">
        <f>IF(#REF!="nulová",J93,0)</f>
        <v>#REF!</v>
      </c>
      <c r="AX93" s="128" t="s">
        <v>88</v>
      </c>
      <c r="AY93" s="166">
        <f t="shared" ref="AY93:AY99" si="1">ROUND(I93*H93,3)</f>
        <v>0</v>
      </c>
      <c r="AZ93" s="128" t="s">
        <v>132</v>
      </c>
      <c r="BA93" s="128" t="s">
        <v>260</v>
      </c>
    </row>
    <row r="94" spans="2:53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263</v>
      </c>
      <c r="G94" s="190" t="s">
        <v>205</v>
      </c>
      <c r="H94" s="191">
        <f>H93/0.16</f>
        <v>4018.75</v>
      </c>
      <c r="I94" s="191"/>
      <c r="J94" s="191">
        <f t="shared" si="0"/>
        <v>0</v>
      </c>
      <c r="K94" s="189" t="s">
        <v>156</v>
      </c>
      <c r="AF94" s="128" t="s">
        <v>264</v>
      </c>
      <c r="AH94" s="128" t="s">
        <v>261</v>
      </c>
      <c r="AI94" s="128" t="s">
        <v>88</v>
      </c>
      <c r="AM94" s="128" t="s">
        <v>126</v>
      </c>
      <c r="AS94" s="138" t="e">
        <f>IF(#REF!="základná",J94,0)</f>
        <v>#REF!</v>
      </c>
      <c r="AT94" s="138" t="e">
        <f>IF(#REF!="znížená",J94,0)</f>
        <v>#REF!</v>
      </c>
      <c r="AU94" s="138" t="e">
        <f>IF(#REF!="zákl. prenesená",J94,0)</f>
        <v>#REF!</v>
      </c>
      <c r="AV94" s="138" t="e">
        <f>IF(#REF!="zníž. prenesená",J94,0)</f>
        <v>#REF!</v>
      </c>
      <c r="AW94" s="138" t="e">
        <f>IF(#REF!="nulová",J94,0)</f>
        <v>#REF!</v>
      </c>
      <c r="AX94" s="128" t="s">
        <v>88</v>
      </c>
      <c r="AY94" s="166">
        <f t="shared" si="1"/>
        <v>0</v>
      </c>
      <c r="AZ94" s="128" t="s">
        <v>132</v>
      </c>
      <c r="BA94" s="128" t="s">
        <v>265</v>
      </c>
    </row>
    <row r="95" spans="2:53" s="26" customFormat="1" ht="22.5" customHeight="1" x14ac:dyDescent="0.25">
      <c r="B95" s="169"/>
      <c r="C95" s="170">
        <v>4</v>
      </c>
      <c r="D95" s="170" t="s">
        <v>129</v>
      </c>
      <c r="E95" s="171" t="s">
        <v>258</v>
      </c>
      <c r="F95" s="172" t="s">
        <v>266</v>
      </c>
      <c r="G95" s="173" t="s">
        <v>136</v>
      </c>
      <c r="H95" s="174">
        <f>55+47</f>
        <v>102</v>
      </c>
      <c r="I95" s="174"/>
      <c r="J95" s="174">
        <f t="shared" si="0"/>
        <v>0</v>
      </c>
      <c r="K95" s="172" t="s">
        <v>156</v>
      </c>
      <c r="AF95" s="128" t="s">
        <v>132</v>
      </c>
      <c r="AH95" s="128" t="s">
        <v>129</v>
      </c>
      <c r="AI95" s="128" t="s">
        <v>88</v>
      </c>
      <c r="AM95" s="128" t="s">
        <v>126</v>
      </c>
      <c r="AS95" s="138" t="e">
        <f>IF(#REF!="základná",J95,0)</f>
        <v>#REF!</v>
      </c>
      <c r="AT95" s="138" t="e">
        <f>IF(#REF!="znížená",J95,0)</f>
        <v>#REF!</v>
      </c>
      <c r="AU95" s="138" t="e">
        <f>IF(#REF!="zákl. prenesená",J95,0)</f>
        <v>#REF!</v>
      </c>
      <c r="AV95" s="138" t="e">
        <f>IF(#REF!="zníž. prenesená",J95,0)</f>
        <v>#REF!</v>
      </c>
      <c r="AW95" s="138" t="e">
        <f>IF(#REF!="nulová",J95,0)</f>
        <v>#REF!</v>
      </c>
      <c r="AX95" s="128" t="s">
        <v>88</v>
      </c>
      <c r="AY95" s="166">
        <f t="shared" si="1"/>
        <v>0</v>
      </c>
      <c r="AZ95" s="128" t="s">
        <v>132</v>
      </c>
      <c r="BA95" s="128" t="s">
        <v>260</v>
      </c>
    </row>
    <row r="96" spans="2:53" s="26" customFormat="1" ht="16.5" customHeight="1" x14ac:dyDescent="0.25">
      <c r="B96" s="169"/>
      <c r="C96" s="187">
        <v>5</v>
      </c>
      <c r="D96" s="187" t="s">
        <v>261</v>
      </c>
      <c r="E96" s="188" t="s">
        <v>262</v>
      </c>
      <c r="F96" s="189" t="s">
        <v>267</v>
      </c>
      <c r="G96" s="190" t="s">
        <v>205</v>
      </c>
      <c r="H96" s="191">
        <f>H95/(0.2*0.2)</f>
        <v>2549.9999999999995</v>
      </c>
      <c r="I96" s="191"/>
      <c r="J96" s="191">
        <f t="shared" si="0"/>
        <v>0</v>
      </c>
      <c r="K96" s="189" t="s">
        <v>156</v>
      </c>
      <c r="AF96" s="128" t="s">
        <v>264</v>
      </c>
      <c r="AH96" s="128" t="s">
        <v>261</v>
      </c>
      <c r="AI96" s="128" t="s">
        <v>88</v>
      </c>
      <c r="AM96" s="128" t="s">
        <v>126</v>
      </c>
      <c r="AS96" s="138" t="e">
        <f>IF(#REF!="základná",J96,0)</f>
        <v>#REF!</v>
      </c>
      <c r="AT96" s="138" t="e">
        <f>IF(#REF!="znížená",J96,0)</f>
        <v>#REF!</v>
      </c>
      <c r="AU96" s="138" t="e">
        <f>IF(#REF!="zákl. prenesená",J96,0)</f>
        <v>#REF!</v>
      </c>
      <c r="AV96" s="138" t="e">
        <f>IF(#REF!="zníž. prenesená",J96,0)</f>
        <v>#REF!</v>
      </c>
      <c r="AW96" s="138" t="e">
        <f>IF(#REF!="nulová",J96,0)</f>
        <v>#REF!</v>
      </c>
      <c r="AX96" s="128" t="s">
        <v>88</v>
      </c>
      <c r="AY96" s="166">
        <f t="shared" si="1"/>
        <v>0</v>
      </c>
      <c r="AZ96" s="128" t="s">
        <v>132</v>
      </c>
      <c r="BA96" s="128" t="s">
        <v>265</v>
      </c>
    </row>
    <row r="97" spans="2:53" s="26" customFormat="1" ht="16.5" customHeight="1" x14ac:dyDescent="0.25">
      <c r="B97" s="169"/>
      <c r="C97" s="187">
        <v>6</v>
      </c>
      <c r="D97" s="187" t="s">
        <v>261</v>
      </c>
      <c r="E97" s="188" t="s">
        <v>268</v>
      </c>
      <c r="F97" s="189" t="s">
        <v>269</v>
      </c>
      <c r="G97" s="190" t="s">
        <v>205</v>
      </c>
      <c r="H97" s="191">
        <f>H93*6.25</f>
        <v>4018.75</v>
      </c>
      <c r="I97" s="191"/>
      <c r="J97" s="191">
        <f t="shared" si="0"/>
        <v>0</v>
      </c>
      <c r="K97" s="189" t="s">
        <v>156</v>
      </c>
      <c r="AF97" s="128" t="s">
        <v>264</v>
      </c>
      <c r="AH97" s="128" t="s">
        <v>261</v>
      </c>
      <c r="AI97" s="128" t="s">
        <v>88</v>
      </c>
      <c r="AM97" s="128" t="s">
        <v>126</v>
      </c>
      <c r="AS97" s="138" t="e">
        <f>IF(#REF!="základná",J97,0)</f>
        <v>#REF!</v>
      </c>
      <c r="AT97" s="138" t="e">
        <f>IF(#REF!="znížená",J97,0)</f>
        <v>#REF!</v>
      </c>
      <c r="AU97" s="138" t="e">
        <f>IF(#REF!="zákl. prenesená",J97,0)</f>
        <v>#REF!</v>
      </c>
      <c r="AV97" s="138" t="e">
        <f>IF(#REF!="zníž. prenesená",J97,0)</f>
        <v>#REF!</v>
      </c>
      <c r="AW97" s="138" t="e">
        <f>IF(#REF!="nulová",J97,0)</f>
        <v>#REF!</v>
      </c>
      <c r="AX97" s="128" t="s">
        <v>88</v>
      </c>
      <c r="AY97" s="166">
        <f t="shared" si="1"/>
        <v>0</v>
      </c>
      <c r="AZ97" s="128" t="s">
        <v>132</v>
      </c>
      <c r="BA97" s="128" t="s">
        <v>270</v>
      </c>
    </row>
    <row r="98" spans="2:53" s="26" customFormat="1" ht="16.5" customHeight="1" x14ac:dyDescent="0.25">
      <c r="B98" s="169"/>
      <c r="C98" s="187">
        <v>7</v>
      </c>
      <c r="D98" s="187" t="s">
        <v>261</v>
      </c>
      <c r="E98" s="188" t="s">
        <v>268</v>
      </c>
      <c r="F98" s="189" t="s">
        <v>271</v>
      </c>
      <c r="G98" s="190" t="s">
        <v>205</v>
      </c>
      <c r="H98" s="191">
        <f>H95*12.2</f>
        <v>1244.3999999999999</v>
      </c>
      <c r="I98" s="191"/>
      <c r="J98" s="191">
        <f t="shared" si="0"/>
        <v>0</v>
      </c>
      <c r="K98" s="189" t="s">
        <v>156</v>
      </c>
      <c r="AF98" s="128" t="s">
        <v>264</v>
      </c>
      <c r="AH98" s="128" t="s">
        <v>261</v>
      </c>
      <c r="AI98" s="128" t="s">
        <v>88</v>
      </c>
      <c r="AM98" s="128" t="s">
        <v>126</v>
      </c>
      <c r="AS98" s="138" t="e">
        <f>IF(#REF!="základná",J98,0)</f>
        <v>#REF!</v>
      </c>
      <c r="AT98" s="138" t="e">
        <f>IF(#REF!="znížená",J98,0)</f>
        <v>#REF!</v>
      </c>
      <c r="AU98" s="138" t="e">
        <f>IF(#REF!="zákl. prenesená",J98,0)</f>
        <v>#REF!</v>
      </c>
      <c r="AV98" s="138" t="e">
        <f>IF(#REF!="zníž. prenesená",J98,0)</f>
        <v>#REF!</v>
      </c>
      <c r="AW98" s="138" t="e">
        <f>IF(#REF!="nulová",J98,0)</f>
        <v>#REF!</v>
      </c>
      <c r="AX98" s="128" t="s">
        <v>88</v>
      </c>
      <c r="AY98" s="166">
        <f t="shared" si="1"/>
        <v>0</v>
      </c>
      <c r="AZ98" s="128" t="s">
        <v>132</v>
      </c>
      <c r="BA98" s="128" t="s">
        <v>270</v>
      </c>
    </row>
    <row r="99" spans="2:53" s="26" customFormat="1" ht="16.5" customHeight="1" x14ac:dyDescent="0.25">
      <c r="B99" s="169"/>
      <c r="C99" s="170">
        <v>8</v>
      </c>
      <c r="D99" s="170" t="s">
        <v>129</v>
      </c>
      <c r="E99" s="171" t="s">
        <v>272</v>
      </c>
      <c r="F99" s="172" t="s">
        <v>273</v>
      </c>
      <c r="G99" s="173" t="s">
        <v>136</v>
      </c>
      <c r="H99" s="174">
        <v>1665.048</v>
      </c>
      <c r="I99" s="174"/>
      <c r="J99" s="174">
        <f t="shared" si="0"/>
        <v>0</v>
      </c>
      <c r="K99" s="172" t="s">
        <v>156</v>
      </c>
      <c r="AF99" s="128" t="s">
        <v>132</v>
      </c>
      <c r="AH99" s="128" t="s">
        <v>129</v>
      </c>
      <c r="AI99" s="128" t="s">
        <v>88</v>
      </c>
      <c r="AM99" s="128" t="s">
        <v>126</v>
      </c>
      <c r="AS99" s="138" t="e">
        <f>IF(#REF!="základná",J99,0)</f>
        <v>#REF!</v>
      </c>
      <c r="AT99" s="138" t="e">
        <f>IF(#REF!="znížená",J99,0)</f>
        <v>#REF!</v>
      </c>
      <c r="AU99" s="138" t="e">
        <f>IF(#REF!="zákl. prenesená",J99,0)</f>
        <v>#REF!</v>
      </c>
      <c r="AV99" s="138" t="e">
        <f>IF(#REF!="zníž. prenesená",J99,0)</f>
        <v>#REF!</v>
      </c>
      <c r="AW99" s="138" t="e">
        <f>IF(#REF!="nulová",J99,0)</f>
        <v>#REF!</v>
      </c>
      <c r="AX99" s="128" t="s">
        <v>88</v>
      </c>
      <c r="AY99" s="166">
        <f t="shared" si="1"/>
        <v>0</v>
      </c>
      <c r="AZ99" s="128" t="s">
        <v>132</v>
      </c>
      <c r="BA99" s="128" t="s">
        <v>274</v>
      </c>
    </row>
    <row r="100" spans="2:53" s="26" customFormat="1" x14ac:dyDescent="0.25">
      <c r="B100" s="132"/>
      <c r="D100" s="179" t="s">
        <v>161</v>
      </c>
      <c r="E100" s="128" t="s">
        <v>9</v>
      </c>
      <c r="F100" s="143" t="s">
        <v>275</v>
      </c>
      <c r="H100" s="166"/>
      <c r="AH100" s="128" t="s">
        <v>161</v>
      </c>
      <c r="AI100" s="128" t="s">
        <v>88</v>
      </c>
      <c r="AJ100" s="26" t="s">
        <v>88</v>
      </c>
      <c r="AK100" s="26" t="s">
        <v>163</v>
      </c>
      <c r="AL100" s="26" t="s">
        <v>42</v>
      </c>
      <c r="AM100" s="128" t="s">
        <v>126</v>
      </c>
    </row>
    <row r="101" spans="2:53" s="158" customFormat="1" ht="22.9" customHeight="1" x14ac:dyDescent="0.2">
      <c r="B101" s="157"/>
      <c r="D101" s="159" t="s">
        <v>123</v>
      </c>
      <c r="E101" s="167" t="s">
        <v>276</v>
      </c>
      <c r="F101" s="167" t="s">
        <v>277</v>
      </c>
      <c r="J101" s="168">
        <f>SUM(J102)</f>
        <v>0</v>
      </c>
      <c r="AF101" s="159" t="s">
        <v>42</v>
      </c>
      <c r="AH101" s="165" t="s">
        <v>123</v>
      </c>
      <c r="AI101" s="165" t="s">
        <v>42</v>
      </c>
      <c r="AM101" s="159" t="s">
        <v>126</v>
      </c>
      <c r="AY101" s="166">
        <f>AY102</f>
        <v>0</v>
      </c>
    </row>
    <row r="102" spans="2:53" s="26" customFormat="1" ht="16.5" customHeight="1" x14ac:dyDescent="0.25">
      <c r="B102" s="169"/>
      <c r="C102" s="170">
        <v>9</v>
      </c>
      <c r="D102" s="170" t="s">
        <v>129</v>
      </c>
      <c r="E102" s="171" t="s">
        <v>278</v>
      </c>
      <c r="F102" s="172" t="s">
        <v>279</v>
      </c>
      <c r="G102" s="173" t="s">
        <v>146</v>
      </c>
      <c r="H102" s="174">
        <v>35.799999999999997</v>
      </c>
      <c r="I102" s="174"/>
      <c r="J102" s="174">
        <f>ROUND(I102*H102,3)</f>
        <v>0</v>
      </c>
      <c r="K102" s="172" t="s">
        <v>156</v>
      </c>
      <c r="AF102" s="128" t="s">
        <v>132</v>
      </c>
      <c r="AH102" s="128" t="s">
        <v>129</v>
      </c>
      <c r="AI102" s="128" t="s">
        <v>88</v>
      </c>
      <c r="AM102" s="128" t="s">
        <v>126</v>
      </c>
      <c r="AS102" s="138" t="e">
        <f>IF(#REF!="základná",J102,0)</f>
        <v>#REF!</v>
      </c>
      <c r="AT102" s="138" t="e">
        <f>IF(#REF!="znížená",J102,0)</f>
        <v>#REF!</v>
      </c>
      <c r="AU102" s="138" t="e">
        <f>IF(#REF!="zákl. prenesená",J102,0)</f>
        <v>#REF!</v>
      </c>
      <c r="AV102" s="138" t="e">
        <f>IF(#REF!="zníž. prenesená",J102,0)</f>
        <v>#REF!</v>
      </c>
      <c r="AW102" s="138" t="e">
        <f>IF(#REF!="nulová",J102,0)</f>
        <v>#REF!</v>
      </c>
      <c r="AX102" s="128" t="s">
        <v>88</v>
      </c>
      <c r="AY102" s="166">
        <f>ROUND(I102*H102,3)</f>
        <v>0</v>
      </c>
      <c r="AZ102" s="128" t="s">
        <v>132</v>
      </c>
      <c r="BA102" s="128" t="s">
        <v>280</v>
      </c>
    </row>
    <row r="103" spans="2:53" s="158" customFormat="1" ht="25.9" customHeight="1" x14ac:dyDescent="0.2">
      <c r="B103" s="157"/>
      <c r="D103" s="159" t="s">
        <v>123</v>
      </c>
      <c r="E103" s="160" t="s">
        <v>191</v>
      </c>
      <c r="F103" s="160" t="s">
        <v>192</v>
      </c>
      <c r="J103" s="161">
        <f>J104+J128+J122+J143+J146</f>
        <v>0</v>
      </c>
      <c r="AF103" s="159" t="s">
        <v>88</v>
      </c>
      <c r="AH103" s="165" t="s">
        <v>123</v>
      </c>
      <c r="AI103" s="165" t="s">
        <v>39</v>
      </c>
      <c r="AM103" s="159" t="s">
        <v>126</v>
      </c>
      <c r="AY103" s="166">
        <f>AY104+AY122+AY128+AY143</f>
        <v>0</v>
      </c>
    </row>
    <row r="104" spans="2:53" s="158" customFormat="1" ht="22.9" customHeight="1" x14ac:dyDescent="0.2">
      <c r="B104" s="157"/>
      <c r="D104" s="159" t="s">
        <v>123</v>
      </c>
      <c r="E104" s="167" t="s">
        <v>193</v>
      </c>
      <c r="F104" s="167" t="s">
        <v>194</v>
      </c>
      <c r="J104" s="168">
        <f>SUM(J105:J121)</f>
        <v>0</v>
      </c>
      <c r="AF104" s="159" t="s">
        <v>88</v>
      </c>
      <c r="AH104" s="165" t="s">
        <v>123</v>
      </c>
      <c r="AI104" s="165" t="s">
        <v>42</v>
      </c>
      <c r="AM104" s="159" t="s">
        <v>126</v>
      </c>
      <c r="AY104" s="166">
        <f>SUM(AY105:AY121)</f>
        <v>0</v>
      </c>
    </row>
    <row r="105" spans="2:53" s="26" customFormat="1" ht="16.5" customHeight="1" x14ac:dyDescent="0.25">
      <c r="B105" s="169"/>
      <c r="C105" s="170">
        <v>10</v>
      </c>
      <c r="D105" s="170" t="s">
        <v>129</v>
      </c>
      <c r="E105" s="171" t="s">
        <v>281</v>
      </c>
      <c r="F105" s="172" t="s">
        <v>282</v>
      </c>
      <c r="G105" s="173" t="s">
        <v>136</v>
      </c>
      <c r="H105" s="174">
        <f>H110+H111</f>
        <v>2868.99</v>
      </c>
      <c r="I105" s="174"/>
      <c r="J105" s="174">
        <f>ROUND(I105*H105,3)</f>
        <v>0</v>
      </c>
      <c r="K105" s="172" t="s">
        <v>156</v>
      </c>
      <c r="AF105" s="128" t="s">
        <v>197</v>
      </c>
      <c r="AH105" s="128" t="s">
        <v>129</v>
      </c>
      <c r="AI105" s="128" t="s">
        <v>88</v>
      </c>
      <c r="AM105" s="128" t="s">
        <v>126</v>
      </c>
      <c r="AS105" s="138" t="e">
        <f>IF(#REF!="základná",J105,0)</f>
        <v>#REF!</v>
      </c>
      <c r="AT105" s="138" t="e">
        <f>IF(#REF!="znížená",J105,0)</f>
        <v>#REF!</v>
      </c>
      <c r="AU105" s="138" t="e">
        <f>IF(#REF!="zákl. prenesená",J105,0)</f>
        <v>#REF!</v>
      </c>
      <c r="AV105" s="138" t="e">
        <f>IF(#REF!="zníž. prenesená",J105,0)</f>
        <v>#REF!</v>
      </c>
      <c r="AW105" s="138" t="e">
        <f>IF(#REF!="nulová",J105,0)</f>
        <v>#REF!</v>
      </c>
      <c r="AX105" s="128" t="s">
        <v>88</v>
      </c>
      <c r="AY105" s="166">
        <f>ROUND(I105*H105,3)</f>
        <v>0</v>
      </c>
      <c r="AZ105" s="128" t="s">
        <v>197</v>
      </c>
      <c r="BA105" s="128" t="s">
        <v>283</v>
      </c>
    </row>
    <row r="106" spans="2:53" s="26" customFormat="1" ht="16.5" customHeight="1" x14ac:dyDescent="0.25">
      <c r="B106" s="169"/>
      <c r="C106" s="187">
        <v>11</v>
      </c>
      <c r="D106" s="187" t="s">
        <v>261</v>
      </c>
      <c r="E106" s="188" t="s">
        <v>284</v>
      </c>
      <c r="F106" s="189" t="s">
        <v>285</v>
      </c>
      <c r="G106" s="190" t="s">
        <v>146</v>
      </c>
      <c r="H106" s="191">
        <f>H107</f>
        <v>2.2581899999999999</v>
      </c>
      <c r="I106" s="191"/>
      <c r="J106" s="191">
        <f>ROUND(I106*H106,3)</f>
        <v>0</v>
      </c>
      <c r="K106" s="189" t="s">
        <v>156</v>
      </c>
      <c r="AF106" s="128" t="s">
        <v>286</v>
      </c>
      <c r="AH106" s="128" t="s">
        <v>261</v>
      </c>
      <c r="AI106" s="128" t="s">
        <v>88</v>
      </c>
      <c r="AM106" s="128" t="s">
        <v>126</v>
      </c>
      <c r="AS106" s="138" t="e">
        <f>IF(#REF!="základná",J106,0)</f>
        <v>#REF!</v>
      </c>
      <c r="AT106" s="138" t="e">
        <f>IF(#REF!="znížená",J106,0)</f>
        <v>#REF!</v>
      </c>
      <c r="AU106" s="138" t="e">
        <f>IF(#REF!="zákl. prenesená",J106,0)</f>
        <v>#REF!</v>
      </c>
      <c r="AV106" s="138" t="e">
        <f>IF(#REF!="zníž. prenesená",J106,0)</f>
        <v>#REF!</v>
      </c>
      <c r="AW106" s="138" t="e">
        <f>IF(#REF!="nulová",J106,0)</f>
        <v>#REF!</v>
      </c>
      <c r="AX106" s="128" t="s">
        <v>88</v>
      </c>
      <c r="AY106" s="166">
        <f>ROUND(I106*H106,3)</f>
        <v>0</v>
      </c>
      <c r="AZ106" s="128" t="s">
        <v>197</v>
      </c>
      <c r="BA106" s="128" t="s">
        <v>287</v>
      </c>
    </row>
    <row r="107" spans="2:53" s="26" customFormat="1" x14ac:dyDescent="0.25">
      <c r="B107" s="132"/>
      <c r="D107" s="179" t="s">
        <v>161</v>
      </c>
      <c r="F107" s="143" t="s">
        <v>288</v>
      </c>
      <c r="H107" s="166">
        <f>3010.92*0.00075</f>
        <v>2.2581899999999999</v>
      </c>
      <c r="AH107" s="128" t="s">
        <v>161</v>
      </c>
      <c r="AI107" s="128" t="s">
        <v>88</v>
      </c>
      <c r="AJ107" s="26" t="s">
        <v>88</v>
      </c>
      <c r="AK107" s="26" t="s">
        <v>1</v>
      </c>
      <c r="AL107" s="26" t="s">
        <v>42</v>
      </c>
      <c r="AM107" s="128" t="s">
        <v>126</v>
      </c>
    </row>
    <row r="108" spans="2:53" s="26" customFormat="1" ht="22.5" customHeight="1" x14ac:dyDescent="0.25">
      <c r="B108" s="169"/>
      <c r="C108" s="170">
        <v>12</v>
      </c>
      <c r="D108" s="170" t="s">
        <v>129</v>
      </c>
      <c r="E108" s="171" t="s">
        <v>289</v>
      </c>
      <c r="F108" s="172" t="s">
        <v>290</v>
      </c>
      <c r="G108" s="173" t="s">
        <v>136</v>
      </c>
      <c r="H108" s="174">
        <v>540.22</v>
      </c>
      <c r="I108" s="174"/>
      <c r="J108" s="174">
        <f>ROUND(I108*H108,3)</f>
        <v>0</v>
      </c>
      <c r="K108" s="172" t="s">
        <v>156</v>
      </c>
      <c r="AF108" s="128" t="s">
        <v>197</v>
      </c>
      <c r="AH108" s="128" t="s">
        <v>129</v>
      </c>
      <c r="AI108" s="128" t="s">
        <v>88</v>
      </c>
      <c r="AM108" s="128" t="s">
        <v>126</v>
      </c>
      <c r="AS108" s="138" t="e">
        <f>IF(#REF!="základná",J108,0)</f>
        <v>#REF!</v>
      </c>
      <c r="AT108" s="138" t="e">
        <f>IF(#REF!="znížená",J108,0)</f>
        <v>#REF!</v>
      </c>
      <c r="AU108" s="138" t="e">
        <f>IF(#REF!="zákl. prenesená",J108,0)</f>
        <v>#REF!</v>
      </c>
      <c r="AV108" s="138" t="e">
        <f>IF(#REF!="zníž. prenesená",J108,0)</f>
        <v>#REF!</v>
      </c>
      <c r="AW108" s="138" t="e">
        <f>IF(#REF!="nulová",J108,0)</f>
        <v>#REF!</v>
      </c>
      <c r="AX108" s="128" t="s">
        <v>88</v>
      </c>
      <c r="AY108" s="166">
        <f>ROUND(I108*H108,3)</f>
        <v>0</v>
      </c>
      <c r="AZ108" s="128" t="s">
        <v>197</v>
      </c>
      <c r="BA108" s="128" t="s">
        <v>291</v>
      </c>
    </row>
    <row r="109" spans="2:53" s="26" customFormat="1" x14ac:dyDescent="0.25">
      <c r="B109" s="132"/>
      <c r="D109" s="179" t="s">
        <v>161</v>
      </c>
      <c r="E109" s="128" t="s">
        <v>9</v>
      </c>
      <c r="F109" s="143" t="s">
        <v>292</v>
      </c>
      <c r="H109" s="166">
        <v>540.22</v>
      </c>
      <c r="AH109" s="128" t="s">
        <v>161</v>
      </c>
      <c r="AI109" s="128" t="s">
        <v>88</v>
      </c>
      <c r="AJ109" s="26" t="s">
        <v>88</v>
      </c>
      <c r="AK109" s="26" t="s">
        <v>163</v>
      </c>
      <c r="AL109" s="26" t="s">
        <v>42</v>
      </c>
      <c r="AM109" s="128" t="s">
        <v>126</v>
      </c>
    </row>
    <row r="110" spans="2:53" s="26" customFormat="1" ht="22.5" customHeight="1" x14ac:dyDescent="0.25">
      <c r="B110" s="169"/>
      <c r="C110" s="170">
        <v>13</v>
      </c>
      <c r="D110" s="170" t="s">
        <v>129</v>
      </c>
      <c r="E110" s="171" t="s">
        <v>293</v>
      </c>
      <c r="F110" s="172" t="s">
        <v>294</v>
      </c>
      <c r="G110" s="173" t="s">
        <v>136</v>
      </c>
      <c r="H110" s="174">
        <v>2378.64</v>
      </c>
      <c r="I110" s="174"/>
      <c r="J110" s="174">
        <f>ROUND(I110*H110,3)</f>
        <v>0</v>
      </c>
      <c r="K110" s="172" t="s">
        <v>156</v>
      </c>
      <c r="AF110" s="128" t="s">
        <v>197</v>
      </c>
      <c r="AH110" s="128" t="s">
        <v>129</v>
      </c>
      <c r="AI110" s="128" t="s">
        <v>88</v>
      </c>
      <c r="AM110" s="128" t="s">
        <v>126</v>
      </c>
      <c r="AS110" s="138" t="e">
        <f>IF(#REF!="základná",J110,0)</f>
        <v>#REF!</v>
      </c>
      <c r="AT110" s="138" t="e">
        <f>IF(#REF!="znížená",J110,0)</f>
        <v>#REF!</v>
      </c>
      <c r="AU110" s="138" t="e">
        <f>IF(#REF!="zákl. prenesená",J110,0)</f>
        <v>#REF!</v>
      </c>
      <c r="AV110" s="138" t="e">
        <f>IF(#REF!="zníž. prenesená",J110,0)</f>
        <v>#REF!</v>
      </c>
      <c r="AW110" s="138" t="e">
        <f>IF(#REF!="nulová",J110,0)</f>
        <v>#REF!</v>
      </c>
      <c r="AX110" s="128" t="s">
        <v>88</v>
      </c>
      <c r="AY110" s="166">
        <f>ROUND(I110*H110,3)</f>
        <v>0</v>
      </c>
      <c r="AZ110" s="128" t="s">
        <v>197</v>
      </c>
      <c r="BA110" s="128" t="s">
        <v>295</v>
      </c>
    </row>
    <row r="111" spans="2:53" s="26" customFormat="1" ht="22.5" customHeight="1" x14ac:dyDescent="0.25">
      <c r="B111" s="169"/>
      <c r="C111" s="170">
        <v>14</v>
      </c>
      <c r="D111" s="170" t="s">
        <v>129</v>
      </c>
      <c r="E111" s="171" t="s">
        <v>296</v>
      </c>
      <c r="F111" s="172" t="s">
        <v>297</v>
      </c>
      <c r="G111" s="173" t="s">
        <v>136</v>
      </c>
      <c r="H111" s="174">
        <v>490.35</v>
      </c>
      <c r="I111" s="174"/>
      <c r="J111" s="174">
        <f>ROUND(I111*H111,3)</f>
        <v>0</v>
      </c>
      <c r="K111" s="172" t="s">
        <v>9</v>
      </c>
      <c r="AF111" s="128" t="s">
        <v>197</v>
      </c>
      <c r="AH111" s="128" t="s">
        <v>129</v>
      </c>
      <c r="AI111" s="128" t="s">
        <v>88</v>
      </c>
      <c r="AM111" s="128" t="s">
        <v>126</v>
      </c>
      <c r="AS111" s="138" t="e">
        <f>IF(#REF!="základná",J111,0)</f>
        <v>#REF!</v>
      </c>
      <c r="AT111" s="138" t="e">
        <f>IF(#REF!="znížená",J111,0)</f>
        <v>#REF!</v>
      </c>
      <c r="AU111" s="138" t="e">
        <f>IF(#REF!="zákl. prenesená",J111,0)</f>
        <v>#REF!</v>
      </c>
      <c r="AV111" s="138" t="e">
        <f>IF(#REF!="zníž. prenesená",J111,0)</f>
        <v>#REF!</v>
      </c>
      <c r="AW111" s="138" t="e">
        <f>IF(#REF!="nulová",J111,0)</f>
        <v>#REF!</v>
      </c>
      <c r="AX111" s="128" t="s">
        <v>88</v>
      </c>
      <c r="AY111" s="166">
        <f>ROUND(I111*H111,3)</f>
        <v>0</v>
      </c>
      <c r="AZ111" s="128" t="s">
        <v>197</v>
      </c>
      <c r="BA111" s="128" t="s">
        <v>298</v>
      </c>
    </row>
    <row r="112" spans="2:53" s="26" customFormat="1" ht="22.15" customHeight="1" x14ac:dyDescent="0.25">
      <c r="B112" s="169"/>
      <c r="C112" s="187">
        <v>15</v>
      </c>
      <c r="D112" s="187" t="s">
        <v>261</v>
      </c>
      <c r="E112" s="188" t="s">
        <v>299</v>
      </c>
      <c r="F112" s="189" t="s">
        <v>300</v>
      </c>
      <c r="G112" s="190" t="s">
        <v>136</v>
      </c>
      <c r="H112" s="191">
        <f>(H110+H111)*1.15</f>
        <v>3299.3384999999994</v>
      </c>
      <c r="I112" s="191"/>
      <c r="J112" s="191">
        <f>ROUND(I112*H112,3)</f>
        <v>0</v>
      </c>
      <c r="K112" s="189" t="s">
        <v>156</v>
      </c>
      <c r="AF112" s="128" t="s">
        <v>286</v>
      </c>
      <c r="AH112" s="128" t="s">
        <v>261</v>
      </c>
      <c r="AI112" s="128" t="s">
        <v>88</v>
      </c>
      <c r="AM112" s="128" t="s">
        <v>126</v>
      </c>
      <c r="AS112" s="138" t="e">
        <f>IF(#REF!="základná",J112,0)</f>
        <v>#REF!</v>
      </c>
      <c r="AT112" s="138" t="e">
        <f>IF(#REF!="znížená",J112,0)</f>
        <v>#REF!</v>
      </c>
      <c r="AU112" s="138" t="e">
        <f>IF(#REF!="zákl. prenesená",J112,0)</f>
        <v>#REF!</v>
      </c>
      <c r="AV112" s="138" t="e">
        <f>IF(#REF!="zníž. prenesená",J112,0)</f>
        <v>#REF!</v>
      </c>
      <c r="AW112" s="138" t="e">
        <f>IF(#REF!="nulová",J112,0)</f>
        <v>#REF!</v>
      </c>
      <c r="AX112" s="128" t="s">
        <v>88</v>
      </c>
      <c r="AY112" s="166">
        <f>ROUND(I112*H112,3)</f>
        <v>0</v>
      </c>
      <c r="AZ112" s="128" t="s">
        <v>197</v>
      </c>
      <c r="BA112" s="128" t="s">
        <v>301</v>
      </c>
    </row>
    <row r="113" spans="2:53" s="26" customFormat="1" x14ac:dyDescent="0.25">
      <c r="B113" s="132"/>
      <c r="D113" s="179" t="s">
        <v>161</v>
      </c>
      <c r="F113" s="143" t="s">
        <v>302</v>
      </c>
      <c r="H113" s="166"/>
      <c r="AH113" s="128" t="s">
        <v>161</v>
      </c>
      <c r="AI113" s="128" t="s">
        <v>88</v>
      </c>
      <c r="AJ113" s="26" t="s">
        <v>88</v>
      </c>
      <c r="AK113" s="26" t="s">
        <v>1</v>
      </c>
      <c r="AL113" s="26" t="s">
        <v>42</v>
      </c>
      <c r="AM113" s="128" t="s">
        <v>126</v>
      </c>
    </row>
    <row r="114" spans="2:53" s="26" customFormat="1" ht="20.45" customHeight="1" x14ac:dyDescent="0.25">
      <c r="B114" s="169"/>
      <c r="C114" s="187">
        <v>16</v>
      </c>
      <c r="D114" s="187" t="s">
        <v>261</v>
      </c>
      <c r="E114" s="188" t="s">
        <v>303</v>
      </c>
      <c r="F114" s="189" t="s">
        <v>304</v>
      </c>
      <c r="G114" s="190" t="s">
        <v>136</v>
      </c>
      <c r="H114" s="191">
        <f>H112</f>
        <v>3299.3384999999994</v>
      </c>
      <c r="I114" s="191"/>
      <c r="J114" s="191">
        <f>ROUND(I114*H114,3)</f>
        <v>0</v>
      </c>
      <c r="K114" s="189" t="s">
        <v>9</v>
      </c>
      <c r="AF114" s="128" t="s">
        <v>286</v>
      </c>
      <c r="AH114" s="128" t="s">
        <v>261</v>
      </c>
      <c r="AI114" s="128" t="s">
        <v>88</v>
      </c>
      <c r="AM114" s="128" t="s">
        <v>126</v>
      </c>
      <c r="AS114" s="138" t="e">
        <f>IF(#REF!="základná",J114,0)</f>
        <v>#REF!</v>
      </c>
      <c r="AT114" s="138" t="e">
        <f>IF(#REF!="znížená",J114,0)</f>
        <v>#REF!</v>
      </c>
      <c r="AU114" s="138" t="e">
        <f>IF(#REF!="zákl. prenesená",J114,0)</f>
        <v>#REF!</v>
      </c>
      <c r="AV114" s="138" t="e">
        <f>IF(#REF!="zníž. prenesená",J114,0)</f>
        <v>#REF!</v>
      </c>
      <c r="AW114" s="138" t="e">
        <f>IF(#REF!="nulová",J114,0)</f>
        <v>#REF!</v>
      </c>
      <c r="AX114" s="128" t="s">
        <v>88</v>
      </c>
      <c r="AY114" s="166">
        <f>ROUND(I114*H114,3)</f>
        <v>0</v>
      </c>
      <c r="AZ114" s="128" t="s">
        <v>197</v>
      </c>
      <c r="BA114" s="128" t="s">
        <v>305</v>
      </c>
    </row>
    <row r="115" spans="2:53" s="26" customFormat="1" ht="16.5" customHeight="1" x14ac:dyDescent="0.25">
      <c r="B115" s="169"/>
      <c r="C115" s="170">
        <v>17</v>
      </c>
      <c r="D115" s="170" t="s">
        <v>129</v>
      </c>
      <c r="E115" s="171" t="s">
        <v>306</v>
      </c>
      <c r="F115" s="172" t="s">
        <v>307</v>
      </c>
      <c r="G115" s="173" t="s">
        <v>234</v>
      </c>
      <c r="H115" s="174">
        <v>761.2</v>
      </c>
      <c r="I115" s="174"/>
      <c r="J115" s="174">
        <f>ROUND(I115*H115,3)</f>
        <v>0</v>
      </c>
      <c r="K115" s="172" t="s">
        <v>9</v>
      </c>
      <c r="AF115" s="128" t="s">
        <v>197</v>
      </c>
      <c r="AH115" s="128" t="s">
        <v>129</v>
      </c>
      <c r="AI115" s="128" t="s">
        <v>88</v>
      </c>
      <c r="AM115" s="128" t="s">
        <v>126</v>
      </c>
      <c r="AS115" s="138" t="e">
        <f>IF(#REF!="základná",J115,0)</f>
        <v>#REF!</v>
      </c>
      <c r="AT115" s="138" t="e">
        <f>IF(#REF!="znížená",J115,0)</f>
        <v>#REF!</v>
      </c>
      <c r="AU115" s="138" t="e">
        <f>IF(#REF!="zákl. prenesená",J115,0)</f>
        <v>#REF!</v>
      </c>
      <c r="AV115" s="138" t="e">
        <f>IF(#REF!="zníž. prenesená",J115,0)</f>
        <v>#REF!</v>
      </c>
      <c r="AW115" s="138" t="e">
        <f>IF(#REF!="nulová",J115,0)</f>
        <v>#REF!</v>
      </c>
      <c r="AX115" s="128" t="s">
        <v>88</v>
      </c>
      <c r="AY115" s="166">
        <f>ROUND(I115*H115,3)</f>
        <v>0</v>
      </c>
      <c r="AZ115" s="128" t="s">
        <v>197</v>
      </c>
      <c r="BA115" s="128" t="s">
        <v>308</v>
      </c>
    </row>
    <row r="116" spans="2:53" s="26" customFormat="1" ht="16.5" customHeight="1" x14ac:dyDescent="0.25">
      <c r="B116" s="169"/>
      <c r="C116" s="170">
        <v>18</v>
      </c>
      <c r="D116" s="170" t="s">
        <v>129</v>
      </c>
      <c r="E116" s="171" t="s">
        <v>309</v>
      </c>
      <c r="F116" s="172" t="s">
        <v>310</v>
      </c>
      <c r="G116" s="173" t="s">
        <v>136</v>
      </c>
      <c r="H116" s="174">
        <v>745</v>
      </c>
      <c r="I116" s="174"/>
      <c r="J116" s="174">
        <f>ROUND(I116*H116,3)</f>
        <v>0</v>
      </c>
      <c r="K116" s="172" t="s">
        <v>156</v>
      </c>
      <c r="AF116" s="128" t="s">
        <v>197</v>
      </c>
      <c r="AH116" s="128" t="s">
        <v>129</v>
      </c>
      <c r="AI116" s="128" t="s">
        <v>88</v>
      </c>
      <c r="AM116" s="128" t="s">
        <v>126</v>
      </c>
      <c r="AS116" s="138" t="e">
        <f>IF(#REF!="základná",J116,0)</f>
        <v>#REF!</v>
      </c>
      <c r="AT116" s="138" t="e">
        <f>IF(#REF!="znížená",J116,0)</f>
        <v>#REF!</v>
      </c>
      <c r="AU116" s="138" t="e">
        <f>IF(#REF!="zákl. prenesená",J116,0)</f>
        <v>#REF!</v>
      </c>
      <c r="AV116" s="138" t="e">
        <f>IF(#REF!="zníž. prenesená",J116,0)</f>
        <v>#REF!</v>
      </c>
      <c r="AW116" s="138" t="e">
        <f>IF(#REF!="nulová",J116,0)</f>
        <v>#REF!</v>
      </c>
      <c r="AX116" s="128" t="s">
        <v>88</v>
      </c>
      <c r="AY116" s="166">
        <f>ROUND(I116*H116,3)</f>
        <v>0</v>
      </c>
      <c r="AZ116" s="128" t="s">
        <v>197</v>
      </c>
      <c r="BA116" s="128" t="s">
        <v>311</v>
      </c>
    </row>
    <row r="117" spans="2:53" s="26" customFormat="1" ht="16.5" customHeight="1" x14ac:dyDescent="0.25">
      <c r="B117" s="169"/>
      <c r="C117" s="187">
        <v>19</v>
      </c>
      <c r="D117" s="187" t="s">
        <v>261</v>
      </c>
      <c r="E117" s="188" t="s">
        <v>312</v>
      </c>
      <c r="F117" s="189" t="s">
        <v>313</v>
      </c>
      <c r="G117" s="190" t="s">
        <v>136</v>
      </c>
      <c r="H117" s="191">
        <v>856.75</v>
      </c>
      <c r="I117" s="191"/>
      <c r="J117" s="191">
        <f>ROUND(I117*H117,3)</f>
        <v>0</v>
      </c>
      <c r="K117" s="189" t="s">
        <v>156</v>
      </c>
      <c r="AF117" s="128" t="s">
        <v>286</v>
      </c>
      <c r="AH117" s="128" t="s">
        <v>261</v>
      </c>
      <c r="AI117" s="128" t="s">
        <v>88</v>
      </c>
      <c r="AM117" s="128" t="s">
        <v>126</v>
      </c>
      <c r="AS117" s="138" t="e">
        <f>IF(#REF!="základná",J117,0)</f>
        <v>#REF!</v>
      </c>
      <c r="AT117" s="138" t="e">
        <f>IF(#REF!="znížená",J117,0)</f>
        <v>#REF!</v>
      </c>
      <c r="AU117" s="138" t="e">
        <f>IF(#REF!="zákl. prenesená",J117,0)</f>
        <v>#REF!</v>
      </c>
      <c r="AV117" s="138" t="e">
        <f>IF(#REF!="zníž. prenesená",J117,0)</f>
        <v>#REF!</v>
      </c>
      <c r="AW117" s="138" t="e">
        <f>IF(#REF!="nulová",J117,0)</f>
        <v>#REF!</v>
      </c>
      <c r="AX117" s="128" t="s">
        <v>88</v>
      </c>
      <c r="AY117" s="166">
        <f>ROUND(I117*H117,3)</f>
        <v>0</v>
      </c>
      <c r="AZ117" s="128" t="s">
        <v>197</v>
      </c>
      <c r="BA117" s="128" t="s">
        <v>314</v>
      </c>
    </row>
    <row r="118" spans="2:53" s="26" customFormat="1" x14ac:dyDescent="0.25">
      <c r="B118" s="132"/>
      <c r="D118" s="179" t="s">
        <v>161</v>
      </c>
      <c r="E118" s="128" t="s">
        <v>9</v>
      </c>
      <c r="F118" s="143" t="s">
        <v>315</v>
      </c>
      <c r="H118" s="166">
        <v>856.75</v>
      </c>
      <c r="AH118" s="128" t="s">
        <v>161</v>
      </c>
      <c r="AI118" s="128" t="s">
        <v>88</v>
      </c>
      <c r="AJ118" s="26" t="s">
        <v>88</v>
      </c>
      <c r="AK118" s="26" t="s">
        <v>163</v>
      </c>
      <c r="AL118" s="26" t="s">
        <v>42</v>
      </c>
      <c r="AM118" s="128" t="s">
        <v>126</v>
      </c>
    </row>
    <row r="119" spans="2:53" s="26" customFormat="1" ht="16.5" customHeight="1" x14ac:dyDescent="0.25">
      <c r="B119" s="169"/>
      <c r="C119" s="170">
        <v>20</v>
      </c>
      <c r="D119" s="170" t="s">
        <v>129</v>
      </c>
      <c r="E119" s="171" t="s">
        <v>316</v>
      </c>
      <c r="F119" s="172" t="s">
        <v>317</v>
      </c>
      <c r="G119" s="173" t="s">
        <v>205</v>
      </c>
      <c r="H119" s="174">
        <v>23</v>
      </c>
      <c r="I119" s="174"/>
      <c r="J119" s="174">
        <f>ROUND(I119*H119,3)</f>
        <v>0</v>
      </c>
      <c r="K119" s="172" t="s">
        <v>9</v>
      </c>
      <c r="AF119" s="128" t="s">
        <v>197</v>
      </c>
      <c r="AH119" s="128" t="s">
        <v>129</v>
      </c>
      <c r="AI119" s="128" t="s">
        <v>88</v>
      </c>
      <c r="AM119" s="128" t="s">
        <v>126</v>
      </c>
      <c r="AS119" s="138" t="e">
        <f>IF(#REF!="základná",J119,0)</f>
        <v>#REF!</v>
      </c>
      <c r="AT119" s="138" t="e">
        <f>IF(#REF!="znížená",J119,0)</f>
        <v>#REF!</v>
      </c>
      <c r="AU119" s="138" t="e">
        <f>IF(#REF!="zákl. prenesená",J119,0)</f>
        <v>#REF!</v>
      </c>
      <c r="AV119" s="138" t="e">
        <f>IF(#REF!="zníž. prenesená",J119,0)</f>
        <v>#REF!</v>
      </c>
      <c r="AW119" s="138" t="e">
        <f>IF(#REF!="nulová",J119,0)</f>
        <v>#REF!</v>
      </c>
      <c r="AX119" s="128" t="s">
        <v>88</v>
      </c>
      <c r="AY119" s="166">
        <f>ROUND(I119*H119,3)</f>
        <v>0</v>
      </c>
      <c r="AZ119" s="128" t="s">
        <v>197</v>
      </c>
      <c r="BA119" s="128" t="s">
        <v>318</v>
      </c>
    </row>
    <row r="120" spans="2:53" s="26" customFormat="1" ht="16.5" customHeight="1" x14ac:dyDescent="0.25">
      <c r="B120" s="169"/>
      <c r="C120" s="187">
        <v>21</v>
      </c>
      <c r="D120" s="187" t="s">
        <v>261</v>
      </c>
      <c r="E120" s="188" t="s">
        <v>319</v>
      </c>
      <c r="F120" s="189" t="s">
        <v>320</v>
      </c>
      <c r="G120" s="190" t="s">
        <v>205</v>
      </c>
      <c r="H120" s="191">
        <v>23</v>
      </c>
      <c r="I120" s="191"/>
      <c r="J120" s="191">
        <f>ROUND(I120*H120,3)</f>
        <v>0</v>
      </c>
      <c r="K120" s="189" t="s">
        <v>9</v>
      </c>
      <c r="AF120" s="128" t="s">
        <v>286</v>
      </c>
      <c r="AH120" s="128" t="s">
        <v>261</v>
      </c>
      <c r="AI120" s="128" t="s">
        <v>88</v>
      </c>
      <c r="AM120" s="128" t="s">
        <v>126</v>
      </c>
      <c r="AS120" s="138" t="e">
        <f>IF(#REF!="základná",J120,0)</f>
        <v>#REF!</v>
      </c>
      <c r="AT120" s="138" t="e">
        <f>IF(#REF!="znížená",J120,0)</f>
        <v>#REF!</v>
      </c>
      <c r="AU120" s="138" t="e">
        <f>IF(#REF!="zákl. prenesená",J120,0)</f>
        <v>#REF!</v>
      </c>
      <c r="AV120" s="138" t="e">
        <f>IF(#REF!="zníž. prenesená",J120,0)</f>
        <v>#REF!</v>
      </c>
      <c r="AW120" s="138" t="e">
        <f>IF(#REF!="nulová",J120,0)</f>
        <v>#REF!</v>
      </c>
      <c r="AX120" s="128" t="s">
        <v>88</v>
      </c>
      <c r="AY120" s="166">
        <f>ROUND(I120*H120,3)</f>
        <v>0</v>
      </c>
      <c r="AZ120" s="128" t="s">
        <v>197</v>
      </c>
      <c r="BA120" s="128" t="s">
        <v>321</v>
      </c>
    </row>
    <row r="121" spans="2:53" s="26" customFormat="1" ht="16.5" customHeight="1" x14ac:dyDescent="0.25">
      <c r="B121" s="169"/>
      <c r="C121" s="170">
        <v>22</v>
      </c>
      <c r="D121" s="170" t="s">
        <v>129</v>
      </c>
      <c r="E121" s="171" t="s">
        <v>322</v>
      </c>
      <c r="F121" s="172" t="s">
        <v>323</v>
      </c>
      <c r="G121" s="173" t="s">
        <v>324</v>
      </c>
      <c r="H121" s="174">
        <f>SUM(J105:J120)/100*1.3</f>
        <v>0</v>
      </c>
      <c r="I121" s="174"/>
      <c r="J121" s="174">
        <f>ROUND(I121*H121,3)</f>
        <v>0</v>
      </c>
      <c r="K121" s="172" t="s">
        <v>156</v>
      </c>
      <c r="AF121" s="128" t="s">
        <v>197</v>
      </c>
      <c r="AH121" s="128" t="s">
        <v>129</v>
      </c>
      <c r="AI121" s="128" t="s">
        <v>88</v>
      </c>
      <c r="AM121" s="128" t="s">
        <v>126</v>
      </c>
      <c r="AS121" s="138" t="e">
        <f>IF(#REF!="základná",J121,0)</f>
        <v>#REF!</v>
      </c>
      <c r="AT121" s="138" t="e">
        <f>IF(#REF!="znížená",J121,0)</f>
        <v>#REF!</v>
      </c>
      <c r="AU121" s="138" t="e">
        <f>IF(#REF!="zákl. prenesená",J121,0)</f>
        <v>#REF!</v>
      </c>
      <c r="AV121" s="138" t="e">
        <f>IF(#REF!="zníž. prenesená",J121,0)</f>
        <v>#REF!</v>
      </c>
      <c r="AW121" s="138" t="e">
        <f>IF(#REF!="nulová",J121,0)</f>
        <v>#REF!</v>
      </c>
      <c r="AX121" s="128" t="s">
        <v>88</v>
      </c>
      <c r="AY121" s="166">
        <f>ROUND(I121*H121,3)</f>
        <v>0</v>
      </c>
      <c r="AZ121" s="128" t="s">
        <v>197</v>
      </c>
      <c r="BA121" s="128" t="s">
        <v>325</v>
      </c>
    </row>
    <row r="122" spans="2:53" s="158" customFormat="1" ht="22.9" customHeight="1" x14ac:dyDescent="0.2">
      <c r="B122" s="157"/>
      <c r="D122" s="159" t="s">
        <v>123</v>
      </c>
      <c r="E122" s="167" t="s">
        <v>326</v>
      </c>
      <c r="F122" s="167" t="s">
        <v>327</v>
      </c>
      <c r="J122" s="168">
        <f>SUM(J123:J127)</f>
        <v>0</v>
      </c>
      <c r="AF122" s="159" t="s">
        <v>88</v>
      </c>
      <c r="AH122" s="165" t="s">
        <v>123</v>
      </c>
      <c r="AI122" s="165" t="s">
        <v>42</v>
      </c>
      <c r="AM122" s="159" t="s">
        <v>126</v>
      </c>
      <c r="AY122" s="166">
        <f>SUM(AY123:AY127)</f>
        <v>0</v>
      </c>
    </row>
    <row r="123" spans="2:53" s="26" customFormat="1" ht="16.5" customHeight="1" x14ac:dyDescent="0.25">
      <c r="B123" s="169"/>
      <c r="C123" s="170">
        <v>23</v>
      </c>
      <c r="D123" s="170" t="s">
        <v>129</v>
      </c>
      <c r="E123" s="171" t="s">
        <v>328</v>
      </c>
      <c r="F123" s="172" t="s">
        <v>329</v>
      </c>
      <c r="G123" s="173" t="s">
        <v>136</v>
      </c>
      <c r="H123" s="174">
        <f>810.33*1.05</f>
        <v>850.84650000000011</v>
      </c>
      <c r="I123" s="174"/>
      <c r="J123" s="174">
        <f>ROUND(I123*H123,3)</f>
        <v>0</v>
      </c>
      <c r="K123" s="172" t="s">
        <v>156</v>
      </c>
      <c r="AF123" s="128" t="s">
        <v>197</v>
      </c>
      <c r="AH123" s="128" t="s">
        <v>129</v>
      </c>
      <c r="AI123" s="128" t="s">
        <v>88</v>
      </c>
      <c r="AM123" s="128" t="s">
        <v>126</v>
      </c>
      <c r="AS123" s="138" t="e">
        <f>IF(#REF!="základná",J123,0)</f>
        <v>#REF!</v>
      </c>
      <c r="AT123" s="138" t="e">
        <f>IF(#REF!="znížená",J123,0)</f>
        <v>#REF!</v>
      </c>
      <c r="AU123" s="138" t="e">
        <f>IF(#REF!="zákl. prenesená",J123,0)</f>
        <v>#REF!</v>
      </c>
      <c r="AV123" s="138" t="e">
        <f>IF(#REF!="zníž. prenesená",J123,0)</f>
        <v>#REF!</v>
      </c>
      <c r="AW123" s="138" t="e">
        <f>IF(#REF!="nulová",J123,0)</f>
        <v>#REF!</v>
      </c>
      <c r="AX123" s="128" t="s">
        <v>88</v>
      </c>
      <c r="AY123" s="166">
        <f>ROUND(I123*H123,3)</f>
        <v>0</v>
      </c>
      <c r="AZ123" s="128" t="s">
        <v>197</v>
      </c>
      <c r="BA123" s="128" t="s">
        <v>330</v>
      </c>
    </row>
    <row r="124" spans="2:53" s="26" customFormat="1" ht="16.5" customHeight="1" x14ac:dyDescent="0.25">
      <c r="B124" s="169"/>
      <c r="C124" s="187">
        <v>24</v>
      </c>
      <c r="D124" s="187" t="s">
        <v>261</v>
      </c>
      <c r="E124" s="188" t="s">
        <v>331</v>
      </c>
      <c r="F124" s="189" t="s">
        <v>332</v>
      </c>
      <c r="G124" s="190" t="s">
        <v>136</v>
      </c>
      <c r="H124" s="191">
        <f>H123*1.15</f>
        <v>978.47347500000001</v>
      </c>
      <c r="I124" s="191"/>
      <c r="J124" s="191">
        <f>ROUND(I124*H124,3)</f>
        <v>0</v>
      </c>
      <c r="K124" s="189" t="s">
        <v>156</v>
      </c>
      <c r="AF124" s="128" t="s">
        <v>286</v>
      </c>
      <c r="AH124" s="128" t="s">
        <v>261</v>
      </c>
      <c r="AI124" s="128" t="s">
        <v>88</v>
      </c>
      <c r="AM124" s="128" t="s">
        <v>126</v>
      </c>
      <c r="AS124" s="138" t="e">
        <f>IF(#REF!="základná",J124,0)</f>
        <v>#REF!</v>
      </c>
      <c r="AT124" s="138" t="e">
        <f>IF(#REF!="znížená",J124,0)</f>
        <v>#REF!</v>
      </c>
      <c r="AU124" s="138" t="e">
        <f>IF(#REF!="zákl. prenesená",J124,0)</f>
        <v>#REF!</v>
      </c>
      <c r="AV124" s="138" t="e">
        <f>IF(#REF!="zníž. prenesená",J124,0)</f>
        <v>#REF!</v>
      </c>
      <c r="AW124" s="138" t="e">
        <f>IF(#REF!="nulová",J124,0)</f>
        <v>#REF!</v>
      </c>
      <c r="AX124" s="128" t="s">
        <v>88</v>
      </c>
      <c r="AY124" s="166">
        <f>ROUND(I124*H124,3)</f>
        <v>0</v>
      </c>
      <c r="AZ124" s="128" t="s">
        <v>197</v>
      </c>
      <c r="BA124" s="128" t="s">
        <v>333</v>
      </c>
    </row>
    <row r="125" spans="2:53" s="26" customFormat="1" x14ac:dyDescent="0.25">
      <c r="B125" s="132"/>
      <c r="D125" s="179" t="s">
        <v>161</v>
      </c>
      <c r="E125" s="128" t="s">
        <v>9</v>
      </c>
      <c r="F125" s="143" t="s">
        <v>334</v>
      </c>
      <c r="H125" s="166"/>
      <c r="AH125" s="128" t="s">
        <v>161</v>
      </c>
      <c r="AI125" s="128" t="s">
        <v>88</v>
      </c>
      <c r="AJ125" s="26" t="s">
        <v>88</v>
      </c>
      <c r="AK125" s="26" t="s">
        <v>163</v>
      </c>
      <c r="AL125" s="26" t="s">
        <v>42</v>
      </c>
      <c r="AM125" s="128" t="s">
        <v>126</v>
      </c>
    </row>
    <row r="126" spans="2:53" s="26" customFormat="1" ht="16.5" customHeight="1" x14ac:dyDescent="0.25">
      <c r="B126" s="169"/>
      <c r="C126" s="170">
        <v>25</v>
      </c>
      <c r="D126" s="170" t="s">
        <v>129</v>
      </c>
      <c r="E126" s="171" t="s">
        <v>335</v>
      </c>
      <c r="F126" s="172" t="s">
        <v>336</v>
      </c>
      <c r="G126" s="173" t="s">
        <v>234</v>
      </c>
      <c r="H126" s="174">
        <v>34</v>
      </c>
      <c r="I126" s="174"/>
      <c r="J126" s="174">
        <f>ROUND(I126*H126,3)</f>
        <v>0</v>
      </c>
      <c r="K126" s="172" t="s">
        <v>9</v>
      </c>
      <c r="AF126" s="128" t="s">
        <v>197</v>
      </c>
      <c r="AH126" s="128" t="s">
        <v>129</v>
      </c>
      <c r="AI126" s="128" t="s">
        <v>88</v>
      </c>
      <c r="AM126" s="128" t="s">
        <v>126</v>
      </c>
      <c r="AS126" s="138" t="e">
        <f>IF(#REF!="základná",J126,0)</f>
        <v>#REF!</v>
      </c>
      <c r="AT126" s="138" t="e">
        <f>IF(#REF!="znížená",J126,0)</f>
        <v>#REF!</v>
      </c>
      <c r="AU126" s="138" t="e">
        <f>IF(#REF!="zákl. prenesená",J126,0)</f>
        <v>#REF!</v>
      </c>
      <c r="AV126" s="138" t="e">
        <f>IF(#REF!="zníž. prenesená",J126,0)</f>
        <v>#REF!</v>
      </c>
      <c r="AW126" s="138" t="e">
        <f>IF(#REF!="nulová",J126,0)</f>
        <v>#REF!</v>
      </c>
      <c r="AX126" s="128" t="s">
        <v>88</v>
      </c>
      <c r="AY126" s="166">
        <f>ROUND(I126*H126,3)</f>
        <v>0</v>
      </c>
      <c r="AZ126" s="128" t="s">
        <v>197</v>
      </c>
      <c r="BA126" s="128" t="s">
        <v>337</v>
      </c>
    </row>
    <row r="127" spans="2:53" s="26" customFormat="1" ht="16.5" customHeight="1" x14ac:dyDescent="0.25">
      <c r="B127" s="169"/>
      <c r="C127" s="170">
        <v>26</v>
      </c>
      <c r="D127" s="170" t="s">
        <v>129</v>
      </c>
      <c r="E127" s="171" t="s">
        <v>338</v>
      </c>
      <c r="F127" s="172" t="s">
        <v>339</v>
      </c>
      <c r="G127" s="173" t="s">
        <v>324</v>
      </c>
      <c r="H127" s="174">
        <f>SUM(J123:J126)/100*1.3</f>
        <v>0</v>
      </c>
      <c r="I127" s="174"/>
      <c r="J127" s="174">
        <f>ROUND(I127*H127,3)</f>
        <v>0</v>
      </c>
      <c r="K127" s="172" t="s">
        <v>156</v>
      </c>
      <c r="AF127" s="128" t="s">
        <v>197</v>
      </c>
      <c r="AH127" s="128" t="s">
        <v>129</v>
      </c>
      <c r="AI127" s="128" t="s">
        <v>88</v>
      </c>
      <c r="AM127" s="128" t="s">
        <v>126</v>
      </c>
      <c r="AS127" s="138" t="e">
        <f>IF(#REF!="základná",J127,0)</f>
        <v>#REF!</v>
      </c>
      <c r="AT127" s="138" t="e">
        <f>IF(#REF!="znížená",J127,0)</f>
        <v>#REF!</v>
      </c>
      <c r="AU127" s="138" t="e">
        <f>IF(#REF!="zákl. prenesená",J127,0)</f>
        <v>#REF!</v>
      </c>
      <c r="AV127" s="138" t="e">
        <f>IF(#REF!="zníž. prenesená",J127,0)</f>
        <v>#REF!</v>
      </c>
      <c r="AW127" s="138" t="e">
        <f>IF(#REF!="nulová",J127,0)</f>
        <v>#REF!</v>
      </c>
      <c r="AX127" s="128" t="s">
        <v>88</v>
      </c>
      <c r="AY127" s="166">
        <f>ROUND(I127*H127,3)</f>
        <v>0</v>
      </c>
      <c r="AZ127" s="128" t="s">
        <v>197</v>
      </c>
      <c r="BA127" s="128" t="s">
        <v>340</v>
      </c>
    </row>
    <row r="128" spans="2:53" s="158" customFormat="1" ht="22.9" customHeight="1" x14ac:dyDescent="0.2">
      <c r="B128" s="157"/>
      <c r="D128" s="159" t="s">
        <v>123</v>
      </c>
      <c r="E128" s="167" t="s">
        <v>223</v>
      </c>
      <c r="F128" s="167" t="s">
        <v>224</v>
      </c>
      <c r="J128" s="168">
        <f>SUM(J129:J142)</f>
        <v>0</v>
      </c>
      <c r="L128" s="193"/>
      <c r="AF128" s="159" t="s">
        <v>88</v>
      </c>
      <c r="AH128" s="165" t="s">
        <v>123</v>
      </c>
      <c r="AI128" s="165" t="s">
        <v>42</v>
      </c>
      <c r="AM128" s="159" t="s">
        <v>126</v>
      </c>
      <c r="AY128" s="166">
        <f>SUM(AY129:AY142)</f>
        <v>0</v>
      </c>
    </row>
    <row r="129" spans="2:53" s="26" customFormat="1" ht="16.5" customHeight="1" x14ac:dyDescent="0.25">
      <c r="B129" s="169"/>
      <c r="C129" s="170">
        <v>27</v>
      </c>
      <c r="D129" s="170" t="s">
        <v>129</v>
      </c>
      <c r="E129" s="171" t="s">
        <v>341</v>
      </c>
      <c r="F129" s="172" t="s">
        <v>342</v>
      </c>
      <c r="G129" s="173" t="s">
        <v>230</v>
      </c>
      <c r="H129" s="174">
        <v>327.8</v>
      </c>
      <c r="I129" s="174"/>
      <c r="J129" s="174">
        <f>ROUND(I129*H129,3)</f>
        <v>0</v>
      </c>
      <c r="K129" s="172" t="s">
        <v>156</v>
      </c>
      <c r="AF129" s="128" t="s">
        <v>197</v>
      </c>
      <c r="AH129" s="128" t="s">
        <v>129</v>
      </c>
      <c r="AI129" s="128" t="s">
        <v>88</v>
      </c>
      <c r="AM129" s="128" t="s">
        <v>126</v>
      </c>
      <c r="AS129" s="138" t="e">
        <f>IF(#REF!="základná",J129,0)</f>
        <v>#REF!</v>
      </c>
      <c r="AT129" s="138" t="e">
        <f>IF(#REF!="znížená",J129,0)</f>
        <v>#REF!</v>
      </c>
      <c r="AU129" s="138" t="e">
        <f>IF(#REF!="zákl. prenesená",J129,0)</f>
        <v>#REF!</v>
      </c>
      <c r="AV129" s="138" t="e">
        <f>IF(#REF!="zníž. prenesená",J129,0)</f>
        <v>#REF!</v>
      </c>
      <c r="AW129" s="138" t="e">
        <f>IF(#REF!="nulová",J129,0)</f>
        <v>#REF!</v>
      </c>
      <c r="AX129" s="128" t="s">
        <v>88</v>
      </c>
      <c r="AY129" s="166">
        <f>ROUND(I129*H129,3)</f>
        <v>0</v>
      </c>
      <c r="AZ129" s="128" t="s">
        <v>197</v>
      </c>
      <c r="BA129" s="128" t="s">
        <v>343</v>
      </c>
    </row>
    <row r="130" spans="2:53" s="26" customFormat="1" ht="16.5" customHeight="1" x14ac:dyDescent="0.25">
      <c r="B130" s="169"/>
      <c r="C130" s="170">
        <v>28</v>
      </c>
      <c r="D130" s="170" t="s">
        <v>129</v>
      </c>
      <c r="E130" s="171" t="s">
        <v>344</v>
      </c>
      <c r="F130" s="172" t="s">
        <v>345</v>
      </c>
      <c r="G130" s="173" t="s">
        <v>205</v>
      </c>
      <c r="H130" s="174">
        <v>46</v>
      </c>
      <c r="I130" s="174"/>
      <c r="J130" s="174">
        <f>ROUND(I130*H130,3)</f>
        <v>0</v>
      </c>
      <c r="K130" s="172" t="s">
        <v>9</v>
      </c>
      <c r="AF130" s="128" t="s">
        <v>197</v>
      </c>
      <c r="AH130" s="128" t="s">
        <v>129</v>
      </c>
      <c r="AI130" s="128" t="s">
        <v>88</v>
      </c>
      <c r="AM130" s="128" t="s">
        <v>126</v>
      </c>
      <c r="AS130" s="138" t="e">
        <f>IF(#REF!="základná",J130,0)</f>
        <v>#REF!</v>
      </c>
      <c r="AT130" s="138" t="e">
        <f>IF(#REF!="znížená",J130,0)</f>
        <v>#REF!</v>
      </c>
      <c r="AU130" s="138" t="e">
        <f>IF(#REF!="zákl. prenesená",J130,0)</f>
        <v>#REF!</v>
      </c>
      <c r="AV130" s="138" t="e">
        <f>IF(#REF!="zníž. prenesená",J130,0)</f>
        <v>#REF!</v>
      </c>
      <c r="AW130" s="138" t="e">
        <f>IF(#REF!="nulová",J130,0)</f>
        <v>#REF!</v>
      </c>
      <c r="AX130" s="128" t="s">
        <v>88</v>
      </c>
      <c r="AY130" s="166">
        <f>ROUND(I130*H130,3)</f>
        <v>0</v>
      </c>
      <c r="AZ130" s="128" t="s">
        <v>197</v>
      </c>
      <c r="BA130" s="128" t="s">
        <v>346</v>
      </c>
    </row>
    <row r="131" spans="2:53" s="26" customFormat="1" ht="16.5" customHeight="1" x14ac:dyDescent="0.25">
      <c r="B131" s="169"/>
      <c r="C131" s="170">
        <v>29</v>
      </c>
      <c r="D131" s="170" t="s">
        <v>129</v>
      </c>
      <c r="E131" s="171" t="s">
        <v>347</v>
      </c>
      <c r="F131" s="172" t="s">
        <v>348</v>
      </c>
      <c r="G131" s="173" t="s">
        <v>230</v>
      </c>
      <c r="H131" s="174">
        <f>106*1.1</f>
        <v>116.60000000000001</v>
      </c>
      <c r="I131" s="174"/>
      <c r="J131" s="174">
        <f>ROUND(I131*H131,3)</f>
        <v>0</v>
      </c>
      <c r="K131" s="172" t="s">
        <v>156</v>
      </c>
      <c r="AF131" s="128" t="s">
        <v>197</v>
      </c>
      <c r="AH131" s="128" t="s">
        <v>129</v>
      </c>
      <c r="AI131" s="128" t="s">
        <v>88</v>
      </c>
      <c r="AM131" s="128" t="s">
        <v>126</v>
      </c>
      <c r="AS131" s="138" t="e">
        <f>IF(#REF!="základná",J131,0)</f>
        <v>#REF!</v>
      </c>
      <c r="AT131" s="138" t="e">
        <f>IF(#REF!="znížená",J131,0)</f>
        <v>#REF!</v>
      </c>
      <c r="AU131" s="138" t="e">
        <f>IF(#REF!="zákl. prenesená",J131,0)</f>
        <v>#REF!</v>
      </c>
      <c r="AV131" s="138" t="e">
        <f>IF(#REF!="zníž. prenesená",J131,0)</f>
        <v>#REF!</v>
      </c>
      <c r="AW131" s="138" t="e">
        <f>IF(#REF!="nulová",J131,0)</f>
        <v>#REF!</v>
      </c>
      <c r="AX131" s="128" t="s">
        <v>88</v>
      </c>
      <c r="AY131" s="166">
        <f>ROUND(I131*H131,3)</f>
        <v>0</v>
      </c>
      <c r="AZ131" s="128" t="s">
        <v>197</v>
      </c>
      <c r="BA131" s="128" t="s">
        <v>349</v>
      </c>
    </row>
    <row r="132" spans="2:53" s="26" customFormat="1" x14ac:dyDescent="0.25">
      <c r="B132" s="132"/>
      <c r="D132" s="179" t="s">
        <v>161</v>
      </c>
      <c r="E132" s="128" t="s">
        <v>9</v>
      </c>
      <c r="F132" s="143" t="s">
        <v>350</v>
      </c>
      <c r="H132" s="166"/>
      <c r="AH132" s="128" t="s">
        <v>161</v>
      </c>
      <c r="AI132" s="128" t="s">
        <v>88</v>
      </c>
      <c r="AJ132" s="26" t="s">
        <v>88</v>
      </c>
      <c r="AK132" s="26" t="s">
        <v>163</v>
      </c>
      <c r="AL132" s="26" t="s">
        <v>42</v>
      </c>
      <c r="AM132" s="128" t="s">
        <v>126</v>
      </c>
    </row>
    <row r="133" spans="2:53" s="26" customFormat="1" ht="16.5" customHeight="1" x14ac:dyDescent="0.25">
      <c r="B133" s="169"/>
      <c r="C133" s="170">
        <v>30</v>
      </c>
      <c r="D133" s="170" t="s">
        <v>129</v>
      </c>
      <c r="E133" s="171" t="s">
        <v>351</v>
      </c>
      <c r="F133" s="172" t="s">
        <v>352</v>
      </c>
      <c r="G133" s="173" t="s">
        <v>230</v>
      </c>
      <c r="H133" s="174">
        <f>H136</f>
        <v>206.8</v>
      </c>
      <c r="I133" s="174"/>
      <c r="J133" s="174">
        <f>ROUND(I133*H133,3)</f>
        <v>0</v>
      </c>
      <c r="K133" s="172" t="s">
        <v>156</v>
      </c>
      <c r="AF133" s="128" t="s">
        <v>197</v>
      </c>
      <c r="AH133" s="128" t="s">
        <v>129</v>
      </c>
      <c r="AI133" s="128" t="s">
        <v>88</v>
      </c>
      <c r="AM133" s="128" t="s">
        <v>126</v>
      </c>
      <c r="AS133" s="138" t="e">
        <f>IF(#REF!="základná",J133,0)</f>
        <v>#REF!</v>
      </c>
      <c r="AT133" s="138" t="e">
        <f>IF(#REF!="znížená",J133,0)</f>
        <v>#REF!</v>
      </c>
      <c r="AU133" s="138" t="e">
        <f>IF(#REF!="zákl. prenesená",J133,0)</f>
        <v>#REF!</v>
      </c>
      <c r="AV133" s="138" t="e">
        <f>IF(#REF!="zníž. prenesená",J133,0)</f>
        <v>#REF!</v>
      </c>
      <c r="AW133" s="138" t="e">
        <f>IF(#REF!="nulová",J133,0)</f>
        <v>#REF!</v>
      </c>
      <c r="AX133" s="128" t="s">
        <v>88</v>
      </c>
      <c r="AY133" s="166">
        <f>ROUND(I133*H133,3)</f>
        <v>0</v>
      </c>
      <c r="AZ133" s="128" t="s">
        <v>197</v>
      </c>
      <c r="BA133" s="128" t="s">
        <v>353</v>
      </c>
    </row>
    <row r="134" spans="2:53" s="26" customFormat="1" x14ac:dyDescent="0.25">
      <c r="B134" s="132"/>
      <c r="D134" s="179" t="s">
        <v>161</v>
      </c>
      <c r="E134" s="128" t="s">
        <v>9</v>
      </c>
      <c r="F134" s="143" t="s">
        <v>354</v>
      </c>
      <c r="H134" s="166">
        <f>45*1.1</f>
        <v>49.500000000000007</v>
      </c>
      <c r="AH134" s="128" t="s">
        <v>161</v>
      </c>
      <c r="AI134" s="128" t="s">
        <v>88</v>
      </c>
      <c r="AJ134" s="26" t="s">
        <v>88</v>
      </c>
      <c r="AK134" s="26" t="s">
        <v>163</v>
      </c>
      <c r="AL134" s="26" t="s">
        <v>39</v>
      </c>
      <c r="AM134" s="128" t="s">
        <v>126</v>
      </c>
    </row>
    <row r="135" spans="2:53" s="26" customFormat="1" x14ac:dyDescent="0.25">
      <c r="B135" s="132"/>
      <c r="D135" s="179" t="s">
        <v>161</v>
      </c>
      <c r="E135" s="128" t="s">
        <v>9</v>
      </c>
      <c r="F135" s="143" t="s">
        <v>355</v>
      </c>
      <c r="H135" s="166">
        <v>157.30000000000001</v>
      </c>
      <c r="AH135" s="128" t="s">
        <v>161</v>
      </c>
      <c r="AI135" s="128" t="s">
        <v>88</v>
      </c>
      <c r="AJ135" s="26" t="s">
        <v>88</v>
      </c>
      <c r="AK135" s="26" t="s">
        <v>163</v>
      </c>
      <c r="AL135" s="26" t="s">
        <v>39</v>
      </c>
      <c r="AM135" s="128" t="s">
        <v>126</v>
      </c>
    </row>
    <row r="136" spans="2:53" s="26" customFormat="1" x14ac:dyDescent="0.25">
      <c r="B136" s="132"/>
      <c r="D136" s="179" t="s">
        <v>161</v>
      </c>
      <c r="E136" s="128" t="s">
        <v>9</v>
      </c>
      <c r="F136" s="143" t="s">
        <v>218</v>
      </c>
      <c r="H136" s="166">
        <f>SUM(H134:H135)</f>
        <v>206.8</v>
      </c>
      <c r="AH136" s="128" t="s">
        <v>161</v>
      </c>
      <c r="AI136" s="128" t="s">
        <v>88</v>
      </c>
      <c r="AJ136" s="26" t="s">
        <v>132</v>
      </c>
      <c r="AK136" s="26" t="s">
        <v>163</v>
      </c>
      <c r="AL136" s="26" t="s">
        <v>42</v>
      </c>
      <c r="AM136" s="128" t="s">
        <v>126</v>
      </c>
    </row>
    <row r="137" spans="2:53" s="26" customFormat="1" ht="16.5" customHeight="1" x14ac:dyDescent="0.25">
      <c r="B137" s="169"/>
      <c r="C137" s="170">
        <v>31</v>
      </c>
      <c r="D137" s="170" t="s">
        <v>129</v>
      </c>
      <c r="E137" s="171" t="s">
        <v>356</v>
      </c>
      <c r="F137" s="172" t="s">
        <v>357</v>
      </c>
      <c r="G137" s="173" t="s">
        <v>230</v>
      </c>
      <c r="H137" s="174">
        <f>66*1.1</f>
        <v>72.600000000000009</v>
      </c>
      <c r="I137" s="174"/>
      <c r="J137" s="174">
        <f>ROUND(I137*H137,3)</f>
        <v>0</v>
      </c>
      <c r="K137" s="172" t="s">
        <v>156</v>
      </c>
      <c r="AF137" s="128" t="s">
        <v>197</v>
      </c>
      <c r="AH137" s="128" t="s">
        <v>129</v>
      </c>
      <c r="AI137" s="128" t="s">
        <v>88</v>
      </c>
      <c r="AM137" s="128" t="s">
        <v>126</v>
      </c>
      <c r="AS137" s="138" t="e">
        <f>IF(#REF!="základná",J137,0)</f>
        <v>#REF!</v>
      </c>
      <c r="AT137" s="138" t="e">
        <f>IF(#REF!="znížená",J137,0)</f>
        <v>#REF!</v>
      </c>
      <c r="AU137" s="138" t="e">
        <f>IF(#REF!="zákl. prenesená",J137,0)</f>
        <v>#REF!</v>
      </c>
      <c r="AV137" s="138" t="e">
        <f>IF(#REF!="zníž. prenesená",J137,0)</f>
        <v>#REF!</v>
      </c>
      <c r="AW137" s="138" t="e">
        <f>IF(#REF!="nulová",J137,0)</f>
        <v>#REF!</v>
      </c>
      <c r="AX137" s="128" t="s">
        <v>88</v>
      </c>
      <c r="AY137" s="166">
        <f>ROUND(I137*H137,3)</f>
        <v>0</v>
      </c>
      <c r="AZ137" s="128" t="s">
        <v>197</v>
      </c>
      <c r="BA137" s="128" t="s">
        <v>358</v>
      </c>
    </row>
    <row r="138" spans="2:53" s="26" customFormat="1" x14ac:dyDescent="0.25">
      <c r="B138" s="132"/>
      <c r="D138" s="179" t="s">
        <v>161</v>
      </c>
      <c r="E138" s="128" t="s">
        <v>9</v>
      </c>
      <c r="F138" s="143" t="s">
        <v>359</v>
      </c>
      <c r="H138" s="166"/>
      <c r="AH138" s="128" t="s">
        <v>161</v>
      </c>
      <c r="AI138" s="128" t="s">
        <v>88</v>
      </c>
      <c r="AJ138" s="26" t="s">
        <v>88</v>
      </c>
      <c r="AK138" s="26" t="s">
        <v>163</v>
      </c>
      <c r="AL138" s="26" t="s">
        <v>42</v>
      </c>
      <c r="AM138" s="128" t="s">
        <v>126</v>
      </c>
    </row>
    <row r="139" spans="2:53" s="26" customFormat="1" ht="16.5" customHeight="1" x14ac:dyDescent="0.25">
      <c r="B139" s="169"/>
      <c r="C139" s="170" t="s">
        <v>236</v>
      </c>
      <c r="D139" s="170" t="s">
        <v>129</v>
      </c>
      <c r="E139" s="171" t="s">
        <v>360</v>
      </c>
      <c r="F139" s="172" t="s">
        <v>361</v>
      </c>
      <c r="G139" s="173" t="s">
        <v>230</v>
      </c>
      <c r="H139" s="174">
        <v>217</v>
      </c>
      <c r="I139" s="174"/>
      <c r="J139" s="174">
        <f>I139*H139</f>
        <v>0</v>
      </c>
      <c r="K139" s="172"/>
      <c r="AF139" s="128"/>
      <c r="AH139" s="128"/>
      <c r="AI139" s="128"/>
      <c r="AM139" s="128"/>
      <c r="AS139" s="138"/>
      <c r="AT139" s="138"/>
      <c r="AU139" s="138"/>
      <c r="AV139" s="138"/>
      <c r="AW139" s="138"/>
      <c r="AX139" s="128"/>
      <c r="AY139" s="166"/>
      <c r="AZ139" s="128"/>
      <c r="BA139" s="128"/>
    </row>
    <row r="140" spans="2:53" s="26" customFormat="1" ht="16.5" customHeight="1" x14ac:dyDescent="0.25">
      <c r="B140" s="169"/>
      <c r="C140" s="170">
        <v>32</v>
      </c>
      <c r="D140" s="170" t="s">
        <v>129</v>
      </c>
      <c r="E140" s="171" t="s">
        <v>362</v>
      </c>
      <c r="F140" s="172" t="s">
        <v>363</v>
      </c>
      <c r="G140" s="173" t="s">
        <v>230</v>
      </c>
      <c r="H140" s="174">
        <f>34*1.1</f>
        <v>37.400000000000006</v>
      </c>
      <c r="I140" s="174"/>
      <c r="J140" s="174">
        <f>ROUND(I140*H140,3)</f>
        <v>0</v>
      </c>
      <c r="K140" s="172" t="s">
        <v>9</v>
      </c>
      <c r="AF140" s="128" t="s">
        <v>197</v>
      </c>
      <c r="AH140" s="128" t="s">
        <v>129</v>
      </c>
      <c r="AI140" s="128" t="s">
        <v>88</v>
      </c>
      <c r="AM140" s="128" t="s">
        <v>126</v>
      </c>
      <c r="AS140" s="138" t="e">
        <f>IF(#REF!="základná",J140,0)</f>
        <v>#REF!</v>
      </c>
      <c r="AT140" s="138" t="e">
        <f>IF(#REF!="znížená",J140,0)</f>
        <v>#REF!</v>
      </c>
      <c r="AU140" s="138" t="e">
        <f>IF(#REF!="zákl. prenesená",J140,0)</f>
        <v>#REF!</v>
      </c>
      <c r="AV140" s="138" t="e">
        <f>IF(#REF!="zníž. prenesená",J140,0)</f>
        <v>#REF!</v>
      </c>
      <c r="AW140" s="138" t="e">
        <f>IF(#REF!="nulová",J140,0)</f>
        <v>#REF!</v>
      </c>
      <c r="AX140" s="128" t="s">
        <v>88</v>
      </c>
      <c r="AY140" s="166">
        <f>ROUND(I140*H140,3)</f>
        <v>0</v>
      </c>
      <c r="AZ140" s="128" t="s">
        <v>197</v>
      </c>
      <c r="BA140" s="128" t="s">
        <v>364</v>
      </c>
    </row>
    <row r="141" spans="2:53" s="26" customFormat="1" ht="16.5" customHeight="1" x14ac:dyDescent="0.25">
      <c r="B141" s="169"/>
      <c r="C141" s="170">
        <v>33</v>
      </c>
      <c r="D141" s="170" t="s">
        <v>129</v>
      </c>
      <c r="E141" s="171" t="s">
        <v>365</v>
      </c>
      <c r="F141" s="172" t="s">
        <v>366</v>
      </c>
      <c r="G141" s="173" t="s">
        <v>234</v>
      </c>
      <c r="H141" s="174">
        <f>H129</f>
        <v>327.8</v>
      </c>
      <c r="I141" s="174"/>
      <c r="J141" s="174">
        <f>ROUND(I141*H141,3)</f>
        <v>0</v>
      </c>
      <c r="K141" s="172" t="s">
        <v>9</v>
      </c>
      <c r="AF141" s="128" t="s">
        <v>197</v>
      </c>
      <c r="AH141" s="128" t="s">
        <v>129</v>
      </c>
      <c r="AI141" s="128" t="s">
        <v>88</v>
      </c>
      <c r="AM141" s="128" t="s">
        <v>126</v>
      </c>
      <c r="AS141" s="138" t="e">
        <f>IF(#REF!="základná",J141,0)</f>
        <v>#REF!</v>
      </c>
      <c r="AT141" s="138" t="e">
        <f>IF(#REF!="znížená",J141,0)</f>
        <v>#REF!</v>
      </c>
      <c r="AU141" s="138" t="e">
        <f>IF(#REF!="zákl. prenesená",J141,0)</f>
        <v>#REF!</v>
      </c>
      <c r="AV141" s="138" t="e">
        <f>IF(#REF!="zníž. prenesená",J141,0)</f>
        <v>#REF!</v>
      </c>
      <c r="AW141" s="138" t="e">
        <f>IF(#REF!="nulová",J141,0)</f>
        <v>#REF!</v>
      </c>
      <c r="AX141" s="128" t="s">
        <v>88</v>
      </c>
      <c r="AY141" s="166">
        <f>ROUND(I141*H141,3)</f>
        <v>0</v>
      </c>
      <c r="AZ141" s="128" t="s">
        <v>197</v>
      </c>
      <c r="BA141" s="128" t="s">
        <v>367</v>
      </c>
    </row>
    <row r="142" spans="2:53" s="26" customFormat="1" ht="16.5" customHeight="1" x14ac:dyDescent="0.25">
      <c r="B142" s="169"/>
      <c r="C142" s="170">
        <v>34</v>
      </c>
      <c r="D142" s="170" t="s">
        <v>129</v>
      </c>
      <c r="E142" s="171" t="s">
        <v>368</v>
      </c>
      <c r="F142" s="172" t="s">
        <v>369</v>
      </c>
      <c r="G142" s="173" t="s">
        <v>324</v>
      </c>
      <c r="H142" s="174">
        <f>SUM(J129:J141)/100*1.3</f>
        <v>0</v>
      </c>
      <c r="I142" s="174"/>
      <c r="J142" s="174">
        <f>ROUND(I142*H142,3)</f>
        <v>0</v>
      </c>
      <c r="K142" s="172" t="s">
        <v>156</v>
      </c>
      <c r="AF142" s="128" t="s">
        <v>197</v>
      </c>
      <c r="AH142" s="128" t="s">
        <v>129</v>
      </c>
      <c r="AI142" s="128" t="s">
        <v>88</v>
      </c>
      <c r="AM142" s="128" t="s">
        <v>126</v>
      </c>
      <c r="AS142" s="138" t="e">
        <f>IF(#REF!="základná",J142,0)</f>
        <v>#REF!</v>
      </c>
      <c r="AT142" s="138" t="e">
        <f>IF(#REF!="znížená",J142,0)</f>
        <v>#REF!</v>
      </c>
      <c r="AU142" s="138" t="e">
        <f>IF(#REF!="zákl. prenesená",J142,0)</f>
        <v>#REF!</v>
      </c>
      <c r="AV142" s="138" t="e">
        <f>IF(#REF!="zníž. prenesená",J142,0)</f>
        <v>#REF!</v>
      </c>
      <c r="AW142" s="138" t="e">
        <f>IF(#REF!="nulová",J142,0)</f>
        <v>#REF!</v>
      </c>
      <c r="AX142" s="128" t="s">
        <v>88</v>
      </c>
      <c r="AY142" s="166">
        <f>ROUND(I142*H142,3)</f>
        <v>0</v>
      </c>
      <c r="AZ142" s="128" t="s">
        <v>197</v>
      </c>
      <c r="BA142" s="128" t="s">
        <v>370</v>
      </c>
    </row>
    <row r="143" spans="2:53" s="158" customFormat="1" ht="22.9" customHeight="1" x14ac:dyDescent="0.2">
      <c r="B143" s="157"/>
      <c r="D143" s="159" t="s">
        <v>123</v>
      </c>
      <c r="E143" s="167" t="s">
        <v>242</v>
      </c>
      <c r="F143" s="167" t="s">
        <v>243</v>
      </c>
      <c r="J143" s="168">
        <f>SUM(J144:J145)</f>
        <v>0</v>
      </c>
      <c r="AF143" s="159" t="s">
        <v>88</v>
      </c>
      <c r="AH143" s="165" t="s">
        <v>123</v>
      </c>
      <c r="AI143" s="165" t="s">
        <v>42</v>
      </c>
      <c r="AM143" s="159" t="s">
        <v>126</v>
      </c>
      <c r="AY143" s="166">
        <f>SUM(AY144:AY145)</f>
        <v>0</v>
      </c>
    </row>
    <row r="144" spans="2:53" s="26" customFormat="1" ht="16.5" customHeight="1" x14ac:dyDescent="0.25">
      <c r="B144" s="169"/>
      <c r="C144" s="170">
        <v>35</v>
      </c>
      <c r="D144" s="170" t="s">
        <v>129</v>
      </c>
      <c r="E144" s="171" t="s">
        <v>371</v>
      </c>
      <c r="F144" s="172" t="s">
        <v>372</v>
      </c>
      <c r="G144" s="173" t="s">
        <v>205</v>
      </c>
      <c r="H144" s="174">
        <v>2</v>
      </c>
      <c r="I144" s="174"/>
      <c r="J144" s="174">
        <f>ROUND(I144*H144,3)</f>
        <v>0</v>
      </c>
      <c r="K144" s="172" t="s">
        <v>9</v>
      </c>
      <c r="AF144" s="128" t="s">
        <v>197</v>
      </c>
      <c r="AH144" s="128" t="s">
        <v>129</v>
      </c>
      <c r="AI144" s="128" t="s">
        <v>88</v>
      </c>
      <c r="AM144" s="128" t="s">
        <v>126</v>
      </c>
      <c r="AS144" s="138" t="e">
        <f>IF(#REF!="základná",J144,0)</f>
        <v>#REF!</v>
      </c>
      <c r="AT144" s="138" t="e">
        <f>IF(#REF!="znížená",J144,0)</f>
        <v>#REF!</v>
      </c>
      <c r="AU144" s="138" t="e">
        <f>IF(#REF!="zákl. prenesená",J144,0)</f>
        <v>#REF!</v>
      </c>
      <c r="AV144" s="138" t="e">
        <f>IF(#REF!="zníž. prenesená",J144,0)</f>
        <v>#REF!</v>
      </c>
      <c r="AW144" s="138" t="e">
        <f>IF(#REF!="nulová",J144,0)</f>
        <v>#REF!</v>
      </c>
      <c r="AX144" s="128" t="s">
        <v>88</v>
      </c>
      <c r="AY144" s="166">
        <f>ROUND(I144*H144,3)</f>
        <v>0</v>
      </c>
      <c r="AZ144" s="128" t="s">
        <v>197</v>
      </c>
      <c r="BA144" s="128" t="s">
        <v>373</v>
      </c>
    </row>
    <row r="145" spans="2:53" s="26" customFormat="1" ht="16.5" customHeight="1" x14ac:dyDescent="0.25">
      <c r="B145" s="169"/>
      <c r="C145" s="170">
        <v>36</v>
      </c>
      <c r="D145" s="170" t="s">
        <v>129</v>
      </c>
      <c r="E145" s="171" t="s">
        <v>374</v>
      </c>
      <c r="F145" s="172" t="s">
        <v>375</v>
      </c>
      <c r="G145" s="173" t="s">
        <v>324</v>
      </c>
      <c r="H145" s="174">
        <v>2.016</v>
      </c>
      <c r="I145" s="174"/>
      <c r="J145" s="174">
        <f>ROUND(I145*H145,3)</f>
        <v>0</v>
      </c>
      <c r="K145" s="172" t="s">
        <v>156</v>
      </c>
      <c r="AF145" s="128" t="s">
        <v>197</v>
      </c>
      <c r="AH145" s="128" t="s">
        <v>129</v>
      </c>
      <c r="AI145" s="128" t="s">
        <v>88</v>
      </c>
      <c r="AM145" s="128" t="s">
        <v>126</v>
      </c>
      <c r="AS145" s="138" t="e">
        <f>IF(#REF!="základná",J145,0)</f>
        <v>#REF!</v>
      </c>
      <c r="AT145" s="138" t="e">
        <f>IF(#REF!="znížená",J145,0)</f>
        <v>#REF!</v>
      </c>
      <c r="AU145" s="138" t="e">
        <f>IF(#REF!="zákl. prenesená",J145,0)</f>
        <v>#REF!</v>
      </c>
      <c r="AV145" s="138" t="e">
        <f>IF(#REF!="zníž. prenesená",J145,0)</f>
        <v>#REF!</v>
      </c>
      <c r="AW145" s="138" t="e">
        <f>IF(#REF!="nulová",J145,0)</f>
        <v>#REF!</v>
      </c>
      <c r="AX145" s="128" t="s">
        <v>88</v>
      </c>
      <c r="AY145" s="166">
        <f>ROUND(I145*H145,3)</f>
        <v>0</v>
      </c>
      <c r="AZ145" s="128" t="s">
        <v>197</v>
      </c>
      <c r="BA145" s="128" t="s">
        <v>376</v>
      </c>
    </row>
    <row r="146" spans="2:53" s="158" customFormat="1" ht="22.9" customHeight="1" x14ac:dyDescent="0.2">
      <c r="B146" s="157"/>
      <c r="D146" s="159"/>
      <c r="E146" s="167" t="s">
        <v>377</v>
      </c>
      <c r="F146" s="167" t="s">
        <v>378</v>
      </c>
      <c r="J146" s="168">
        <f>SUM(J147:J148)</f>
        <v>0</v>
      </c>
      <c r="AF146" s="159"/>
      <c r="AH146" s="165"/>
      <c r="AI146" s="165"/>
      <c r="AM146" s="159"/>
      <c r="AY146" s="166"/>
    </row>
    <row r="147" spans="2:53" s="26" customFormat="1" ht="16.5" customHeight="1" x14ac:dyDescent="0.25">
      <c r="B147" s="169"/>
      <c r="C147" s="170">
        <v>37</v>
      </c>
      <c r="D147" s="170" t="s">
        <v>129</v>
      </c>
      <c r="E147" s="171" t="s">
        <v>379</v>
      </c>
      <c r="F147" s="172" t="s">
        <v>380</v>
      </c>
      <c r="G147" s="173" t="s">
        <v>136</v>
      </c>
      <c r="H147" s="174">
        <v>50</v>
      </c>
      <c r="I147" s="174"/>
      <c r="J147" s="174">
        <f>ROUND(I147*H147,3)</f>
        <v>0</v>
      </c>
      <c r="K147" s="172" t="s">
        <v>156</v>
      </c>
      <c r="AF147" s="128" t="s">
        <v>197</v>
      </c>
      <c r="AH147" s="128" t="s">
        <v>129</v>
      </c>
      <c r="AI147" s="128" t="s">
        <v>88</v>
      </c>
      <c r="AM147" s="128" t="s">
        <v>126</v>
      </c>
      <c r="AS147" s="138" t="e">
        <f>IF(#REF!="základná",J147,0)</f>
        <v>#REF!</v>
      </c>
      <c r="AT147" s="138" t="e">
        <f>IF(#REF!="znížená",J147,0)</f>
        <v>#REF!</v>
      </c>
      <c r="AU147" s="138" t="e">
        <f>IF(#REF!="zákl. prenesená",J147,0)</f>
        <v>#REF!</v>
      </c>
      <c r="AV147" s="138" t="e">
        <f>IF(#REF!="zníž. prenesená",J147,0)</f>
        <v>#REF!</v>
      </c>
      <c r="AW147" s="138" t="e">
        <f>IF(#REF!="nulová",J147,0)</f>
        <v>#REF!</v>
      </c>
      <c r="AX147" s="128" t="s">
        <v>88</v>
      </c>
      <c r="AY147" s="166">
        <f>ROUND(I147*H147,3)</f>
        <v>0</v>
      </c>
      <c r="AZ147" s="128" t="s">
        <v>197</v>
      </c>
      <c r="BA147" s="128" t="s">
        <v>376</v>
      </c>
    </row>
    <row r="148" spans="2:53" s="26" customFormat="1" ht="16.5" customHeight="1" x14ac:dyDescent="0.25">
      <c r="B148" s="169"/>
      <c r="C148" s="170">
        <v>38</v>
      </c>
      <c r="D148" s="170"/>
      <c r="E148" s="171" t="s">
        <v>381</v>
      </c>
      <c r="F148" s="172" t="s">
        <v>382</v>
      </c>
      <c r="G148" s="173" t="s">
        <v>136</v>
      </c>
      <c r="H148" s="174">
        <v>50</v>
      </c>
      <c r="I148" s="174"/>
      <c r="J148" s="174">
        <f>ROUND(I148*H148,3)</f>
        <v>0</v>
      </c>
      <c r="K148" s="172"/>
      <c r="AF148" s="128"/>
      <c r="AH148" s="128"/>
      <c r="AI148" s="128"/>
      <c r="AM148" s="128"/>
      <c r="AS148" s="138"/>
      <c r="AT148" s="138"/>
      <c r="AU148" s="138"/>
      <c r="AV148" s="138"/>
      <c r="AW148" s="138"/>
      <c r="AX148" s="128"/>
      <c r="AY148" s="166"/>
      <c r="AZ148" s="128"/>
      <c r="BA148" s="128"/>
    </row>
    <row r="149" spans="2:53" s="158" customFormat="1" ht="25.9" customHeight="1" x14ac:dyDescent="0.2">
      <c r="B149" s="157"/>
      <c r="D149" s="159" t="s">
        <v>123</v>
      </c>
      <c r="E149" s="160" t="s">
        <v>261</v>
      </c>
      <c r="F149" s="160" t="s">
        <v>383</v>
      </c>
      <c r="J149" s="161">
        <f>J150</f>
        <v>0</v>
      </c>
      <c r="AF149" s="159" t="s">
        <v>140</v>
      </c>
      <c r="AH149" s="165" t="s">
        <v>123</v>
      </c>
      <c r="AI149" s="165" t="s">
        <v>39</v>
      </c>
      <c r="AM149" s="159" t="s">
        <v>126</v>
      </c>
      <c r="AY149" s="166">
        <f>AY150</f>
        <v>0</v>
      </c>
    </row>
    <row r="150" spans="2:53" s="158" customFormat="1" ht="22.9" customHeight="1" x14ac:dyDescent="0.2">
      <c r="B150" s="157"/>
      <c r="D150" s="159" t="s">
        <v>123</v>
      </c>
      <c r="E150" s="167" t="s">
        <v>384</v>
      </c>
      <c r="F150" s="167" t="s">
        <v>385</v>
      </c>
      <c r="J150" s="168">
        <f>SUM(J151)</f>
        <v>0</v>
      </c>
      <c r="AF150" s="159" t="s">
        <v>140</v>
      </c>
      <c r="AH150" s="165" t="s">
        <v>123</v>
      </c>
      <c r="AI150" s="165" t="s">
        <v>42</v>
      </c>
      <c r="AM150" s="159" t="s">
        <v>126</v>
      </c>
      <c r="AY150" s="166">
        <f>AY151</f>
        <v>0</v>
      </c>
    </row>
    <row r="151" spans="2:53" s="26" customFormat="1" ht="16.5" customHeight="1" x14ac:dyDescent="0.25">
      <c r="B151" s="169"/>
      <c r="C151" s="170">
        <v>39</v>
      </c>
      <c r="D151" s="170" t="s">
        <v>129</v>
      </c>
      <c r="E151" s="171" t="s">
        <v>386</v>
      </c>
      <c r="F151" s="172" t="s">
        <v>387</v>
      </c>
      <c r="G151" s="173" t="s">
        <v>153</v>
      </c>
      <c r="H151" s="174">
        <v>1</v>
      </c>
      <c r="I151" s="174"/>
      <c r="J151" s="174">
        <f>ROUND(I151*H151,3)</f>
        <v>0</v>
      </c>
      <c r="K151" s="172" t="s">
        <v>9</v>
      </c>
      <c r="AF151" s="128" t="s">
        <v>388</v>
      </c>
      <c r="AH151" s="128" t="s">
        <v>129</v>
      </c>
      <c r="AI151" s="128" t="s">
        <v>88</v>
      </c>
      <c r="AM151" s="128" t="s">
        <v>126</v>
      </c>
      <c r="AS151" s="138" t="e">
        <f>IF(#REF!="základná",J151,0)</f>
        <v>#REF!</v>
      </c>
      <c r="AT151" s="138" t="e">
        <f>IF(#REF!="znížená",J151,0)</f>
        <v>#REF!</v>
      </c>
      <c r="AU151" s="138" t="e">
        <f>IF(#REF!="zákl. prenesená",J151,0)</f>
        <v>#REF!</v>
      </c>
      <c r="AV151" s="138" t="e">
        <f>IF(#REF!="zníž. prenesená",J151,0)</f>
        <v>#REF!</v>
      </c>
      <c r="AW151" s="138" t="e">
        <f>IF(#REF!="nulová",J151,0)</f>
        <v>#REF!</v>
      </c>
      <c r="AX151" s="128" t="s">
        <v>88</v>
      </c>
      <c r="AY151" s="166">
        <f>ROUND(I151*H151,3)</f>
        <v>0</v>
      </c>
      <c r="AZ151" s="128" t="s">
        <v>388</v>
      </c>
      <c r="BA151" s="128" t="s">
        <v>389</v>
      </c>
    </row>
    <row r="152" spans="2:53" s="26" customFormat="1" ht="16.5" customHeight="1" x14ac:dyDescent="0.25">
      <c r="B152" s="169"/>
      <c r="C152" s="194"/>
      <c r="D152" s="194"/>
      <c r="E152" s="195"/>
      <c r="F152" s="196"/>
      <c r="G152" s="197"/>
      <c r="H152" s="198"/>
      <c r="I152" s="198"/>
      <c r="J152" s="198"/>
      <c r="K152" s="196"/>
      <c r="AF152" s="128"/>
      <c r="AH152" s="128"/>
      <c r="AI152" s="128"/>
      <c r="AM152" s="128"/>
      <c r="AS152" s="138"/>
      <c r="AT152" s="138"/>
      <c r="AU152" s="138"/>
      <c r="AV152" s="138"/>
      <c r="AW152" s="138"/>
      <c r="AX152" s="128"/>
      <c r="AY152" s="166"/>
      <c r="AZ152" s="128"/>
      <c r="BA152" s="128"/>
    </row>
    <row r="153" spans="2:53" s="158" customFormat="1" ht="25.9" customHeight="1" x14ac:dyDescent="0.2">
      <c r="B153" s="157"/>
      <c r="D153" s="159"/>
      <c r="E153" s="160"/>
      <c r="F153" s="160" t="s">
        <v>390</v>
      </c>
      <c r="J153" s="161">
        <f>J154</f>
        <v>0</v>
      </c>
      <c r="AF153" s="159" t="s">
        <v>140</v>
      </c>
      <c r="AH153" s="165" t="s">
        <v>123</v>
      </c>
      <c r="AI153" s="165" t="s">
        <v>39</v>
      </c>
      <c r="AM153" s="159" t="s">
        <v>126</v>
      </c>
      <c r="AY153" s="166">
        <f>AY154</f>
        <v>0</v>
      </c>
    </row>
    <row r="154" spans="2:53" s="158" customFormat="1" ht="22.9" customHeight="1" x14ac:dyDescent="0.2">
      <c r="B154" s="157"/>
      <c r="D154" s="159" t="s">
        <v>391</v>
      </c>
      <c r="E154" s="167">
        <v>0</v>
      </c>
      <c r="F154" s="167" t="s">
        <v>392</v>
      </c>
      <c r="J154" s="168">
        <f>SUM(J155:J158)</f>
        <v>0</v>
      </c>
      <c r="AF154" s="159" t="s">
        <v>140</v>
      </c>
      <c r="AH154" s="165" t="s">
        <v>123</v>
      </c>
      <c r="AI154" s="165" t="s">
        <v>42</v>
      </c>
      <c r="AM154" s="159" t="s">
        <v>126</v>
      </c>
      <c r="AY154" s="166">
        <f>AY155</f>
        <v>0</v>
      </c>
    </row>
    <row r="155" spans="2:53" s="26" customFormat="1" ht="16.5" customHeight="1" x14ac:dyDescent="0.25">
      <c r="B155" s="169"/>
      <c r="C155" s="170">
        <v>40</v>
      </c>
      <c r="D155" s="170" t="s">
        <v>129</v>
      </c>
      <c r="E155" s="171" t="s">
        <v>393</v>
      </c>
      <c r="F155" s="172" t="s">
        <v>394</v>
      </c>
      <c r="G155" s="173" t="s">
        <v>324</v>
      </c>
      <c r="H155" s="174">
        <v>4.4000000000000004</v>
      </c>
      <c r="I155" s="174"/>
      <c r="J155" s="174">
        <f>ROUND(I155*H155,3)</f>
        <v>0</v>
      </c>
      <c r="K155" s="172" t="s">
        <v>9</v>
      </c>
      <c r="AF155" s="128" t="s">
        <v>388</v>
      </c>
      <c r="AH155" s="128" t="s">
        <v>129</v>
      </c>
      <c r="AI155" s="128" t="s">
        <v>88</v>
      </c>
      <c r="AM155" s="128" t="s">
        <v>126</v>
      </c>
      <c r="AS155" s="138" t="e">
        <f>IF(#REF!="základná",J155,0)</f>
        <v>#REF!</v>
      </c>
      <c r="AT155" s="138" t="e">
        <f>IF(#REF!="znížená",J155,0)</f>
        <v>#REF!</v>
      </c>
      <c r="AU155" s="138" t="e">
        <f>IF(#REF!="zákl. prenesená",J155,0)</f>
        <v>#REF!</v>
      </c>
      <c r="AV155" s="138" t="e">
        <f>IF(#REF!="zníž. prenesená",J155,0)</f>
        <v>#REF!</v>
      </c>
      <c r="AW155" s="138" t="e">
        <f>IF(#REF!="nulová",J155,0)</f>
        <v>#REF!</v>
      </c>
      <c r="AX155" s="128" t="s">
        <v>88</v>
      </c>
      <c r="AY155" s="166">
        <f>ROUND(I155*H155,3)</f>
        <v>0</v>
      </c>
      <c r="AZ155" s="128" t="s">
        <v>388</v>
      </c>
      <c r="BA155" s="128" t="s">
        <v>389</v>
      </c>
    </row>
    <row r="156" spans="2:53" s="26" customFormat="1" ht="16.5" customHeight="1" x14ac:dyDescent="0.25">
      <c r="B156" s="169"/>
      <c r="C156" s="170">
        <v>41</v>
      </c>
      <c r="D156" s="170" t="s">
        <v>129</v>
      </c>
      <c r="E156" s="171" t="s">
        <v>395</v>
      </c>
      <c r="F156" s="172" t="s">
        <v>396</v>
      </c>
      <c r="G156" s="173" t="s">
        <v>324</v>
      </c>
      <c r="H156" s="174">
        <v>1</v>
      </c>
      <c r="I156" s="174"/>
      <c r="J156" s="174">
        <f>ROUND(I156*H156,3)</f>
        <v>0</v>
      </c>
      <c r="K156" s="172" t="s">
        <v>9</v>
      </c>
      <c r="AF156" s="128" t="s">
        <v>388</v>
      </c>
      <c r="AH156" s="128" t="s">
        <v>129</v>
      </c>
      <c r="AI156" s="128" t="s">
        <v>88</v>
      </c>
      <c r="AM156" s="128" t="s">
        <v>126</v>
      </c>
      <c r="AS156" s="138" t="e">
        <f>IF(#REF!="základná",J156,0)</f>
        <v>#REF!</v>
      </c>
      <c r="AT156" s="138" t="e">
        <f>IF(#REF!="znížená",J156,0)</f>
        <v>#REF!</v>
      </c>
      <c r="AU156" s="138" t="e">
        <f>IF(#REF!="zákl. prenesená",J156,0)</f>
        <v>#REF!</v>
      </c>
      <c r="AV156" s="138" t="e">
        <f>IF(#REF!="zníž. prenesená",J156,0)</f>
        <v>#REF!</v>
      </c>
      <c r="AW156" s="138" t="e">
        <f>IF(#REF!="nulová",J156,0)</f>
        <v>#REF!</v>
      </c>
      <c r="AX156" s="128" t="s">
        <v>88</v>
      </c>
      <c r="AY156" s="166">
        <f>ROUND(I156*H156,3)</f>
        <v>0</v>
      </c>
      <c r="AZ156" s="128" t="s">
        <v>388</v>
      </c>
      <c r="BA156" s="128" t="s">
        <v>389</v>
      </c>
    </row>
    <row r="157" spans="2:53" s="26" customFormat="1" ht="16.5" customHeight="1" x14ac:dyDescent="0.25">
      <c r="B157" s="169"/>
      <c r="C157" s="170">
        <v>42</v>
      </c>
      <c r="D157" s="170" t="s">
        <v>129</v>
      </c>
      <c r="E157" s="171" t="s">
        <v>397</v>
      </c>
      <c r="F157" s="172" t="s">
        <v>398</v>
      </c>
      <c r="G157" s="173" t="s">
        <v>399</v>
      </c>
      <c r="H157" s="174">
        <f>H105*0.15</f>
        <v>430.34849999999994</v>
      </c>
      <c r="I157" s="174"/>
      <c r="J157" s="174">
        <f>ROUND(I157*H157,3)</f>
        <v>0</v>
      </c>
      <c r="K157" s="172"/>
      <c r="AF157" s="128"/>
      <c r="AH157" s="128"/>
      <c r="AI157" s="128"/>
      <c r="AM157" s="128"/>
      <c r="AS157" s="138"/>
      <c r="AT157" s="138"/>
      <c r="AU157" s="138"/>
      <c r="AV157" s="138"/>
      <c r="AW157" s="138"/>
      <c r="AX157" s="128"/>
      <c r="AY157" s="166"/>
      <c r="AZ157" s="128"/>
      <c r="BA157" s="128"/>
    </row>
    <row r="158" spans="2:53" s="26" customFormat="1" ht="16.5" customHeight="1" x14ac:dyDescent="0.25">
      <c r="B158" s="169"/>
      <c r="C158" s="170">
        <v>43</v>
      </c>
      <c r="D158" s="170" t="s">
        <v>129</v>
      </c>
      <c r="E158" s="171" t="s">
        <v>400</v>
      </c>
      <c r="F158" s="172" t="s">
        <v>401</v>
      </c>
      <c r="G158" s="173" t="s">
        <v>324</v>
      </c>
      <c r="H158" s="174">
        <v>12.1</v>
      </c>
      <c r="I158" s="174"/>
      <c r="J158" s="174">
        <f>ROUND(I158*H158,3)</f>
        <v>0</v>
      </c>
      <c r="K158" s="172" t="s">
        <v>9</v>
      </c>
      <c r="AF158" s="128" t="s">
        <v>388</v>
      </c>
      <c r="AH158" s="128" t="s">
        <v>129</v>
      </c>
      <c r="AI158" s="128" t="s">
        <v>88</v>
      </c>
      <c r="AM158" s="128" t="s">
        <v>126</v>
      </c>
      <c r="AS158" s="138" t="e">
        <f>IF(#REF!="základná",J158,0)</f>
        <v>#REF!</v>
      </c>
      <c r="AT158" s="138" t="e">
        <f>IF(#REF!="znížená",J158,0)</f>
        <v>#REF!</v>
      </c>
      <c r="AU158" s="138" t="e">
        <f>IF(#REF!="zákl. prenesená",J158,0)</f>
        <v>#REF!</v>
      </c>
      <c r="AV158" s="138" t="e">
        <f>IF(#REF!="zníž. prenesená",J158,0)</f>
        <v>#REF!</v>
      </c>
      <c r="AW158" s="138" t="e">
        <f>IF(#REF!="nulová",J158,0)</f>
        <v>#REF!</v>
      </c>
      <c r="AX158" s="128" t="s">
        <v>88</v>
      </c>
      <c r="AY158" s="166">
        <f>ROUND(I158*H158,3)</f>
        <v>0</v>
      </c>
      <c r="AZ158" s="128" t="s">
        <v>388</v>
      </c>
      <c r="BA158" s="128" t="s">
        <v>389</v>
      </c>
    </row>
    <row r="159" spans="2:53" s="26" customFormat="1" ht="6.95" customHeight="1" x14ac:dyDescent="0.25">
      <c r="B159" s="141"/>
      <c r="C159" s="36"/>
      <c r="D159" s="36"/>
      <c r="E159" s="36"/>
      <c r="F159" s="36"/>
      <c r="G159" s="36"/>
      <c r="H159" s="36"/>
      <c r="I159" s="36"/>
      <c r="J159" s="36"/>
      <c r="K159" s="36"/>
    </row>
  </sheetData>
  <mergeCells count="8">
    <mergeCell ref="E79:H79"/>
    <mergeCell ref="E81:H81"/>
    <mergeCell ref="E7:H7"/>
    <mergeCell ref="E9:H9"/>
    <mergeCell ref="E18:H18"/>
    <mergeCell ref="E27:H27"/>
    <mergeCell ref="E48:H48"/>
    <mergeCell ref="E50:H50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topLeftCell="A67" zoomScale="55" zoomScaleNormal="55" workbookViewId="0">
      <selection activeCell="I89" sqref="I89:I142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27.28515625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47</v>
      </c>
      <c r="AZ2" s="128" t="s">
        <v>85</v>
      </c>
      <c r="BA2" s="128" t="s">
        <v>86</v>
      </c>
      <c r="BB2" s="128" t="s">
        <v>9</v>
      </c>
      <c r="BC2" s="128" t="s">
        <v>405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89</v>
      </c>
      <c r="BA3" s="128" t="s">
        <v>90</v>
      </c>
      <c r="BB3" s="128" t="s">
        <v>9</v>
      </c>
      <c r="BC3" s="128" t="s">
        <v>406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90</v>
      </c>
      <c r="BA4" s="128" t="s">
        <v>94</v>
      </c>
      <c r="BB4" s="128" t="s">
        <v>9</v>
      </c>
      <c r="BC4" s="128" t="s">
        <v>407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46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ROUND((SUM(BE86:BE141)),  2)</f>
        <v>0</v>
      </c>
      <c r="I33" s="139">
        <v>0.2</v>
      </c>
      <c r="J33" s="138">
        <f>ROUND(((SUM(BE86:BE141))*I33),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ROUND((SUM(BF86:BF141)),  2)</f>
        <v>0</v>
      </c>
      <c r="I34" s="139">
        <v>0.2</v>
      </c>
      <c r="J34" s="138">
        <f>ROUND(((SUM(BF86:BF141))*I34),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ROUND((SUM(BG86:BG141)),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ROUND((SUM(BH86:BH141)),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ROUND((SUM(BI86:BI141)),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B- demontáž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J121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J122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J133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J140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408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J87+J121</f>
        <v>0</v>
      </c>
      <c r="L86" s="132"/>
      <c r="M86" s="153"/>
      <c r="N86" s="134"/>
      <c r="O86" s="134"/>
      <c r="P86" s="154">
        <f>P87+P121</f>
        <v>4300.2705007799996</v>
      </c>
      <c r="Q86" s="134"/>
      <c r="R86" s="154">
        <f>R87+R121</f>
        <v>47.561143139999999</v>
      </c>
      <c r="S86" s="134"/>
      <c r="T86" s="155">
        <f>T87+T121</f>
        <v>116.84557199999998</v>
      </c>
      <c r="AT86" s="128" t="s">
        <v>123</v>
      </c>
      <c r="AU86" s="128" t="s">
        <v>101</v>
      </c>
      <c r="BK86" s="156">
        <f>BK87+BK121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BK87</f>
        <v>0</v>
      </c>
      <c r="L87" s="157"/>
      <c r="M87" s="162"/>
      <c r="P87" s="163">
        <f>P88+P91</f>
        <v>3585.52826878</v>
      </c>
      <c r="R87" s="163">
        <f>R88+R91</f>
        <v>47.38224314</v>
      </c>
      <c r="T87" s="164">
        <f>T88+T91</f>
        <v>7.38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>
        <f>SUM(P89:P90)</f>
        <v>984.38559537999993</v>
      </c>
      <c r="R88" s="163">
        <f>SUM(R89:R90)</f>
        <v>47.38224314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786*1.1*0.1*1.15</f>
        <v>99.429000000000002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42.676915379999997</v>
      </c>
      <c r="Q89" s="177">
        <v>2.0660000000000001E-2</v>
      </c>
      <c r="R89" s="177">
        <f>Q89*H89</f>
        <v>2.0542031400000003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2194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941.70867999999996</v>
      </c>
      <c r="Q90" s="177">
        <v>2.0660000000000001E-2</v>
      </c>
      <c r="R90" s="177">
        <f>Q90*H90</f>
        <v>45.328040000000001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SUM(J92:J119)</f>
        <v>0</v>
      </c>
      <c r="L91" s="157"/>
      <c r="M91" s="162"/>
      <c r="P91" s="163">
        <f>SUM(P92:P120)</f>
        <v>2601.1426734000001</v>
      </c>
      <c r="R91" s="163">
        <f>SUM(R92:R120)</f>
        <v>0</v>
      </c>
      <c r="T91" s="164">
        <f>SUM(T92:T120)</f>
        <v>7.38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SUM(BK92:BK120)</f>
        <v>0</v>
      </c>
    </row>
    <row r="92" spans="2:65" s="26" customFormat="1" ht="16.5" customHeight="1" x14ac:dyDescent="0.25">
      <c r="B92" s="169"/>
      <c r="C92" s="170" t="s">
        <v>140</v>
      </c>
      <c r="D92" s="170" t="s">
        <v>129</v>
      </c>
      <c r="E92" s="171" t="s">
        <v>141</v>
      </c>
      <c r="F92" s="172" t="s">
        <v>142</v>
      </c>
      <c r="G92" s="173" t="s">
        <v>136</v>
      </c>
      <c r="H92" s="174">
        <v>164</v>
      </c>
      <c r="I92" s="174"/>
      <c r="J92" s="174">
        <f>ROUND(I92*H92,3)</f>
        <v>0</v>
      </c>
      <c r="K92" s="172" t="s">
        <v>9</v>
      </c>
      <c r="L92" s="132"/>
      <c r="M92" s="175" t="s">
        <v>9</v>
      </c>
      <c r="N92" s="176" t="s">
        <v>27</v>
      </c>
      <c r="O92" s="177">
        <v>0.13400000000000001</v>
      </c>
      <c r="P92" s="177">
        <f>O92*H92</f>
        <v>21.976000000000003</v>
      </c>
      <c r="Q92" s="177">
        <v>0</v>
      </c>
      <c r="R92" s="177">
        <f>Q92*H92</f>
        <v>0</v>
      </c>
      <c r="S92" s="177">
        <v>4.4999999999999998E-2</v>
      </c>
      <c r="T92" s="178">
        <f>S92*H92</f>
        <v>7.38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143</v>
      </c>
    </row>
    <row r="93" spans="2:65" s="26" customFormat="1" ht="16.5" customHeight="1" x14ac:dyDescent="0.25">
      <c r="B93" s="169"/>
      <c r="C93" s="170">
        <v>4</v>
      </c>
      <c r="D93" s="170"/>
      <c r="E93" s="171" t="s">
        <v>144</v>
      </c>
      <c r="F93" s="172" t="s">
        <v>145</v>
      </c>
      <c r="G93" s="173" t="s">
        <v>146</v>
      </c>
      <c r="H93" s="174">
        <f>H97+H105+H112</f>
        <v>332.33780000000002</v>
      </c>
      <c r="I93" s="174"/>
      <c r="J93" s="174">
        <f>ROUND(I93*H93,3)</f>
        <v>0</v>
      </c>
      <c r="K93" s="172"/>
      <c r="L93" s="132"/>
      <c r="M93" s="175"/>
      <c r="N93" s="176"/>
      <c r="O93" s="177"/>
      <c r="P93" s="177"/>
      <c r="Q93" s="177"/>
      <c r="R93" s="177"/>
      <c r="S93" s="177"/>
      <c r="T93" s="178"/>
      <c r="AR93" s="128"/>
      <c r="AT93" s="128"/>
      <c r="AU93" s="128"/>
      <c r="AY93" s="128"/>
      <c r="BE93" s="138"/>
      <c r="BF93" s="138"/>
      <c r="BG93" s="138"/>
      <c r="BH93" s="138"/>
      <c r="BI93" s="138"/>
      <c r="BJ93" s="128"/>
      <c r="BK93" s="166"/>
      <c r="BL93" s="128"/>
      <c r="BM93" s="128"/>
    </row>
    <row r="94" spans="2:65" s="26" customFormat="1" ht="16.5" customHeight="1" x14ac:dyDescent="0.25">
      <c r="B94" s="169"/>
      <c r="C94" s="170">
        <v>5</v>
      </c>
      <c r="D94" s="170"/>
      <c r="E94" s="171" t="s">
        <v>148</v>
      </c>
      <c r="F94" s="172" t="s">
        <v>149</v>
      </c>
      <c r="G94" s="173" t="s">
        <v>146</v>
      </c>
      <c r="H94" s="174">
        <f>H93*10</f>
        <v>3323.3780000000002</v>
      </c>
      <c r="I94" s="174"/>
      <c r="J94" s="174">
        <f>ROUND(I94*H94,3)</f>
        <v>0</v>
      </c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/>
      <c r="BL94" s="128"/>
      <c r="BM94" s="128"/>
    </row>
    <row r="95" spans="2:65" s="26" customFormat="1" ht="16.5" customHeight="1" x14ac:dyDescent="0.25">
      <c r="B95" s="169"/>
      <c r="C95" s="170"/>
      <c r="D95" s="170" t="s">
        <v>129</v>
      </c>
      <c r="E95" s="171"/>
      <c r="F95" s="172" t="s">
        <v>150</v>
      </c>
      <c r="K95" s="172" t="s">
        <v>9</v>
      </c>
      <c r="L95" s="132"/>
      <c r="M95" s="175" t="s">
        <v>9</v>
      </c>
      <c r="N95" s="176" t="s">
        <v>27</v>
      </c>
      <c r="O95" s="177">
        <v>0.89</v>
      </c>
      <c r="P95" s="177">
        <f>O95*H96</f>
        <v>0.89</v>
      </c>
      <c r="Q95" s="177">
        <v>0</v>
      </c>
      <c r="R95" s="177">
        <f>Q95*H96</f>
        <v>0</v>
      </c>
      <c r="S95" s="177">
        <v>0</v>
      </c>
      <c r="T95" s="178">
        <f>S95*H96</f>
        <v>0</v>
      </c>
      <c r="AR95" s="128" t="s">
        <v>132</v>
      </c>
      <c r="AT95" s="128" t="s">
        <v>129</v>
      </c>
      <c r="AU95" s="128" t="s">
        <v>88</v>
      </c>
      <c r="AY95" s="128" t="s">
        <v>126</v>
      </c>
      <c r="BE95" s="138">
        <f>IF(N95="základná",J96,0)</f>
        <v>0</v>
      </c>
      <c r="BF95" s="138">
        <f>IF(N95="znížená",J96,0)</f>
        <v>0</v>
      </c>
      <c r="BG95" s="138">
        <f>IF(N95="zákl. prenesená",J96,0)</f>
        <v>0</v>
      </c>
      <c r="BH95" s="138">
        <f>IF(N95="zníž. prenesená",J96,0)</f>
        <v>0</v>
      </c>
      <c r="BI95" s="138">
        <f>IF(N95="nulová",J96,0)</f>
        <v>0</v>
      </c>
      <c r="BJ95" s="128" t="s">
        <v>88</v>
      </c>
      <c r="BK95" s="166">
        <f>ROUND(I96*H96,3)</f>
        <v>0</v>
      </c>
      <c r="BL95" s="128" t="s">
        <v>132</v>
      </c>
      <c r="BM95" s="128" t="s">
        <v>147</v>
      </c>
    </row>
    <row r="96" spans="2:65" s="26" customFormat="1" ht="16.5" customHeight="1" x14ac:dyDescent="0.25">
      <c r="B96" s="169"/>
      <c r="C96" s="170">
        <v>6</v>
      </c>
      <c r="D96" s="170"/>
      <c r="E96" s="171" t="s">
        <v>151</v>
      </c>
      <c r="F96" s="172" t="s">
        <v>152</v>
      </c>
      <c r="G96" s="173" t="s">
        <v>153</v>
      </c>
      <c r="H96" s="174">
        <v>1</v>
      </c>
      <c r="I96" s="174"/>
      <c r="J96" s="174">
        <f>ROUND(I96*H96,3)</f>
        <v>0</v>
      </c>
      <c r="K96" s="172"/>
      <c r="L96" s="132"/>
      <c r="M96" s="175"/>
      <c r="N96" s="176"/>
      <c r="O96" s="177"/>
      <c r="P96" s="177"/>
      <c r="Q96" s="177"/>
      <c r="R96" s="177"/>
      <c r="S96" s="177"/>
      <c r="T96" s="178"/>
      <c r="AR96" s="128"/>
      <c r="AT96" s="128"/>
      <c r="AU96" s="128"/>
      <c r="AY96" s="128"/>
      <c r="BE96" s="138"/>
      <c r="BF96" s="138"/>
      <c r="BG96" s="138"/>
      <c r="BH96" s="138"/>
      <c r="BI96" s="138"/>
      <c r="BJ96" s="128"/>
      <c r="BK96" s="166"/>
      <c r="BL96" s="128"/>
      <c r="BM96" s="128"/>
    </row>
    <row r="97" spans="2:65" s="26" customFormat="1" ht="19.899999999999999" customHeight="1" x14ac:dyDescent="0.25">
      <c r="B97" s="169"/>
      <c r="C97" s="170">
        <v>7</v>
      </c>
      <c r="D97" s="170" t="s">
        <v>129</v>
      </c>
      <c r="E97" s="171" t="s">
        <v>154</v>
      </c>
      <c r="F97" s="172" t="s">
        <v>155</v>
      </c>
      <c r="G97" s="173" t="s">
        <v>146</v>
      </c>
      <c r="H97" s="174">
        <v>94.212000000000003</v>
      </c>
      <c r="I97" s="174"/>
      <c r="J97" s="174">
        <f>ROUND(I97*H97,3)</f>
        <v>0</v>
      </c>
      <c r="K97" s="172" t="s">
        <v>156</v>
      </c>
      <c r="L97" s="132"/>
      <c r="M97" s="175" t="s">
        <v>9</v>
      </c>
      <c r="N97" s="176" t="s">
        <v>27</v>
      </c>
      <c r="O97" s="177">
        <v>0</v>
      </c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157</v>
      </c>
    </row>
    <row r="98" spans="2:65" s="26" customFormat="1" ht="16.5" customHeight="1" x14ac:dyDescent="0.25">
      <c r="B98" s="169"/>
      <c r="C98" s="170">
        <v>8</v>
      </c>
      <c r="D98" s="170" t="s">
        <v>129</v>
      </c>
      <c r="E98" s="171" t="s">
        <v>158</v>
      </c>
      <c r="F98" s="172" t="s">
        <v>159</v>
      </c>
      <c r="G98" s="173" t="s">
        <v>146</v>
      </c>
      <c r="H98" s="174">
        <v>94.212000000000003</v>
      </c>
      <c r="I98" s="174"/>
      <c r="J98" s="174">
        <f>ROUND(I98*H98,3)</f>
        <v>0</v>
      </c>
      <c r="K98" s="172" t="s">
        <v>9</v>
      </c>
      <c r="L98" s="132"/>
      <c r="M98" s="175" t="s">
        <v>9</v>
      </c>
      <c r="N98" s="176" t="s">
        <v>27</v>
      </c>
      <c r="O98" s="177">
        <v>0.88200000000000001</v>
      </c>
      <c r="P98" s="177">
        <f>O98*H98</f>
        <v>83.094983999999997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28" t="s">
        <v>132</v>
      </c>
      <c r="AT98" s="128" t="s">
        <v>129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132</v>
      </c>
      <c r="BM98" s="128" t="s">
        <v>160</v>
      </c>
    </row>
    <row r="99" spans="2:65" s="26" customFormat="1" ht="16.5" customHeight="1" x14ac:dyDescent="0.25">
      <c r="B99" s="169"/>
      <c r="C99" s="170">
        <v>9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H98*10</f>
        <v>942.12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0.61799999999999999</v>
      </c>
      <c r="P99" s="177">
        <f>O99*H99</f>
        <v>582.23015999999996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166</v>
      </c>
    </row>
    <row r="100" spans="2:65" s="26" customFormat="1" x14ac:dyDescent="0.25">
      <c r="B100" s="132"/>
      <c r="D100" s="179" t="s">
        <v>161</v>
      </c>
      <c r="E100" s="128" t="s">
        <v>9</v>
      </c>
      <c r="F100" s="143" t="s">
        <v>409</v>
      </c>
      <c r="H100" s="166"/>
      <c r="L100" s="132"/>
      <c r="M100" s="180"/>
      <c r="T100" s="181"/>
      <c r="AT100" s="128" t="s">
        <v>161</v>
      </c>
      <c r="AU100" s="128" t="s">
        <v>88</v>
      </c>
      <c r="AV100" s="26" t="s">
        <v>88</v>
      </c>
      <c r="AW100" s="26" t="s">
        <v>163</v>
      </c>
      <c r="AX100" s="26" t="s">
        <v>42</v>
      </c>
      <c r="AY100" s="128" t="s">
        <v>126</v>
      </c>
    </row>
    <row r="101" spans="2:65" s="26" customFormat="1" ht="16.5" customHeight="1" x14ac:dyDescent="0.25">
      <c r="B101" s="169"/>
      <c r="C101" s="170">
        <v>10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v>94.212000000000003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0.59799999999999998</v>
      </c>
      <c r="P101" s="177">
        <f>O101*H101</f>
        <v>56.338776000000003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132</v>
      </c>
      <c r="BM101" s="128" t="s">
        <v>169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162</v>
      </c>
      <c r="H102" s="166">
        <v>94.212000000000003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16.5" customHeight="1" x14ac:dyDescent="0.25">
      <c r="B103" s="169"/>
      <c r="C103" s="170">
        <v>11</v>
      </c>
      <c r="D103" s="170" t="s">
        <v>129</v>
      </c>
      <c r="E103" s="171" t="s">
        <v>170</v>
      </c>
      <c r="F103" s="172" t="s">
        <v>171</v>
      </c>
      <c r="G103" s="173" t="s">
        <v>146</v>
      </c>
      <c r="H103" s="174">
        <v>1318.9680000000001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7.0000000000000001E-3</v>
      </c>
      <c r="P103" s="177">
        <f>O103*H103</f>
        <v>9.2327760000000012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128" t="s">
        <v>132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132</v>
      </c>
      <c r="BM103" s="128" t="s">
        <v>172</v>
      </c>
    </row>
    <row r="104" spans="2:65" s="26" customFormat="1" x14ac:dyDescent="0.25">
      <c r="B104" s="132"/>
      <c r="D104" s="179" t="s">
        <v>161</v>
      </c>
      <c r="E104" s="128" t="s">
        <v>9</v>
      </c>
      <c r="F104" s="143" t="s">
        <v>173</v>
      </c>
      <c r="H104" s="166">
        <v>1318.9680000000001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163</v>
      </c>
      <c r="AX104" s="26" t="s">
        <v>42</v>
      </c>
      <c r="AY104" s="128" t="s">
        <v>126</v>
      </c>
    </row>
    <row r="105" spans="2:65" s="26" customFormat="1" ht="16.5" customHeight="1" x14ac:dyDescent="0.25">
      <c r="B105" s="169"/>
      <c r="C105" s="170">
        <v>12</v>
      </c>
      <c r="D105" s="170" t="s">
        <v>129</v>
      </c>
      <c r="E105" s="171" t="s">
        <v>174</v>
      </c>
      <c r="F105" s="172" t="s">
        <v>175</v>
      </c>
      <c r="G105" s="173" t="s">
        <v>146</v>
      </c>
      <c r="H105" s="174">
        <f>H89*2.2+7.38</f>
        <v>226.12380000000002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</v>
      </c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176</v>
      </c>
    </row>
    <row r="106" spans="2:65" s="26" customFormat="1" ht="16.5" customHeight="1" x14ac:dyDescent="0.25">
      <c r="B106" s="169"/>
      <c r="C106" s="170">
        <v>13</v>
      </c>
      <c r="D106" s="170" t="s">
        <v>129</v>
      </c>
      <c r="E106" s="171" t="s">
        <v>158</v>
      </c>
      <c r="F106" s="172" t="s">
        <v>159</v>
      </c>
      <c r="G106" s="173" t="s">
        <v>146</v>
      </c>
      <c r="H106" s="174">
        <f>H105</f>
        <v>226.12380000000002</v>
      </c>
      <c r="I106" s="174"/>
      <c r="J106" s="174">
        <f>ROUND(I106*H106,3)</f>
        <v>0</v>
      </c>
      <c r="K106" s="172" t="s">
        <v>9</v>
      </c>
      <c r="L106" s="132"/>
      <c r="M106" s="175" t="s">
        <v>9</v>
      </c>
      <c r="N106" s="176" t="s">
        <v>27</v>
      </c>
      <c r="O106" s="177">
        <v>0.88200000000000001</v>
      </c>
      <c r="P106" s="177">
        <f>O106*H106</f>
        <v>199.44119160000002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177</v>
      </c>
    </row>
    <row r="107" spans="2:65" s="26" customFormat="1" ht="16.5" customHeight="1" x14ac:dyDescent="0.25">
      <c r="B107" s="169"/>
      <c r="C107" s="170">
        <v>14</v>
      </c>
      <c r="D107" s="170" t="s">
        <v>129</v>
      </c>
      <c r="E107" s="171" t="s">
        <v>164</v>
      </c>
      <c r="F107" s="172" t="s">
        <v>165</v>
      </c>
      <c r="G107" s="173" t="s">
        <v>146</v>
      </c>
      <c r="H107" s="174">
        <f>H105*10</f>
        <v>2261.2380000000003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0.61799999999999999</v>
      </c>
      <c r="P107" s="177">
        <f>O107*H107</f>
        <v>1397.4450840000002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132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132</v>
      </c>
      <c r="BM107" s="128" t="s">
        <v>178</v>
      </c>
    </row>
    <row r="108" spans="2:65" s="26" customFormat="1" x14ac:dyDescent="0.25">
      <c r="B108" s="132"/>
      <c r="D108" s="179" t="s">
        <v>161</v>
      </c>
      <c r="E108" s="128" t="s">
        <v>9</v>
      </c>
      <c r="F108" s="143" t="s">
        <v>410</v>
      </c>
      <c r="H108" s="166"/>
      <c r="L108" s="132"/>
      <c r="M108" s="180"/>
      <c r="T108" s="181"/>
      <c r="AT108" s="128" t="s">
        <v>161</v>
      </c>
      <c r="AU108" s="128" t="s">
        <v>88</v>
      </c>
      <c r="AV108" s="26" t="s">
        <v>88</v>
      </c>
      <c r="AW108" s="26" t="s">
        <v>163</v>
      </c>
      <c r="AX108" s="26" t="s">
        <v>42</v>
      </c>
      <c r="AY108" s="128" t="s">
        <v>126</v>
      </c>
    </row>
    <row r="109" spans="2:65" s="26" customFormat="1" ht="16.5" customHeight="1" x14ac:dyDescent="0.25">
      <c r="B109" s="169"/>
      <c r="C109" s="170">
        <v>15</v>
      </c>
      <c r="D109" s="170" t="s">
        <v>129</v>
      </c>
      <c r="E109" s="171" t="s">
        <v>167</v>
      </c>
      <c r="F109" s="172" t="s">
        <v>168</v>
      </c>
      <c r="G109" s="173" t="s">
        <v>146</v>
      </c>
      <c r="H109" s="174">
        <f>H105</f>
        <v>226.12380000000002</v>
      </c>
      <c r="I109" s="174"/>
      <c r="J109" s="174">
        <f>ROUND(I109*H109,3)</f>
        <v>0</v>
      </c>
      <c r="K109" s="172" t="s">
        <v>156</v>
      </c>
      <c r="L109" s="132"/>
      <c r="M109" s="175" t="s">
        <v>9</v>
      </c>
      <c r="N109" s="176" t="s">
        <v>27</v>
      </c>
      <c r="O109" s="177">
        <v>0.59799999999999998</v>
      </c>
      <c r="P109" s="177">
        <f>O109*H109</f>
        <v>135.22203240000002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28" t="s">
        <v>132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132</v>
      </c>
      <c r="BM109" s="128" t="s">
        <v>179</v>
      </c>
    </row>
    <row r="110" spans="2:65" s="26" customFormat="1" ht="16.5" customHeight="1" x14ac:dyDescent="0.25">
      <c r="B110" s="169"/>
      <c r="C110" s="170">
        <v>16</v>
      </c>
      <c r="D110" s="170" t="s">
        <v>129</v>
      </c>
      <c r="E110" s="171" t="s">
        <v>170</v>
      </c>
      <c r="F110" s="172" t="s">
        <v>171</v>
      </c>
      <c r="G110" s="173" t="s">
        <v>146</v>
      </c>
      <c r="H110" s="174">
        <f>H105*14</f>
        <v>3165.7332000000001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7.0000000000000001E-3</v>
      </c>
      <c r="P110" s="177">
        <f>O110*H110</f>
        <v>22.160132400000002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180</v>
      </c>
    </row>
    <row r="111" spans="2:65" s="26" customFormat="1" x14ac:dyDescent="0.25">
      <c r="B111" s="132"/>
      <c r="D111" s="179" t="s">
        <v>161</v>
      </c>
      <c r="E111" s="128" t="s">
        <v>9</v>
      </c>
      <c r="F111" s="143" t="s">
        <v>411</v>
      </c>
      <c r="H111" s="166"/>
      <c r="L111" s="132"/>
      <c r="M111" s="180"/>
      <c r="T111" s="181"/>
      <c r="AT111" s="128" t="s">
        <v>161</v>
      </c>
      <c r="AU111" s="128" t="s">
        <v>88</v>
      </c>
      <c r="AV111" s="26" t="s">
        <v>88</v>
      </c>
      <c r="AW111" s="26" t="s">
        <v>163</v>
      </c>
      <c r="AX111" s="26" t="s">
        <v>42</v>
      </c>
      <c r="AY111" s="128" t="s">
        <v>126</v>
      </c>
    </row>
    <row r="112" spans="2:65" s="26" customFormat="1" ht="16.5" customHeight="1" x14ac:dyDescent="0.25">
      <c r="B112" s="169"/>
      <c r="C112" s="170">
        <v>17</v>
      </c>
      <c r="D112" s="170" t="s">
        <v>129</v>
      </c>
      <c r="E112" s="171" t="s">
        <v>182</v>
      </c>
      <c r="F112" s="172" t="s">
        <v>183</v>
      </c>
      <c r="G112" s="173" t="s">
        <v>146</v>
      </c>
      <c r="H112" s="174">
        <v>12.002000000000001</v>
      </c>
      <c r="I112" s="174"/>
      <c r="J112" s="174">
        <f>ROUND(I112*H112,3)</f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0</v>
      </c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184</v>
      </c>
    </row>
    <row r="113" spans="2:65" s="26" customFormat="1" ht="16.5" customHeight="1" x14ac:dyDescent="0.25">
      <c r="B113" s="169"/>
      <c r="C113" s="170">
        <v>18</v>
      </c>
      <c r="D113" s="170" t="s">
        <v>129</v>
      </c>
      <c r="E113" s="171" t="s">
        <v>158</v>
      </c>
      <c r="F113" s="172" t="s">
        <v>159</v>
      </c>
      <c r="G113" s="173" t="s">
        <v>146</v>
      </c>
      <c r="H113" s="174">
        <v>12.002000000000001</v>
      </c>
      <c r="I113" s="174"/>
      <c r="J113" s="174">
        <f>ROUND(I113*H113,3)</f>
        <v>0</v>
      </c>
      <c r="K113" s="172" t="s">
        <v>9</v>
      </c>
      <c r="L113" s="132"/>
      <c r="M113" s="175" t="s">
        <v>9</v>
      </c>
      <c r="N113" s="176" t="s">
        <v>27</v>
      </c>
      <c r="O113" s="177">
        <v>0.88200000000000001</v>
      </c>
      <c r="P113" s="177">
        <f>O113*H113</f>
        <v>10.585764000000001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185</v>
      </c>
    </row>
    <row r="114" spans="2:65" s="26" customFormat="1" x14ac:dyDescent="0.25">
      <c r="B114" s="132"/>
      <c r="D114" s="179" t="s">
        <v>161</v>
      </c>
      <c r="E114" s="128" t="s">
        <v>9</v>
      </c>
      <c r="F114" s="143" t="s">
        <v>412</v>
      </c>
      <c r="H114" s="166">
        <v>12.002000000000001</v>
      </c>
      <c r="L114" s="132"/>
      <c r="M114" s="180"/>
      <c r="T114" s="181"/>
      <c r="AT114" s="128" t="s">
        <v>161</v>
      </c>
      <c r="AU114" s="128" t="s">
        <v>88</v>
      </c>
      <c r="AV114" s="26" t="s">
        <v>88</v>
      </c>
      <c r="AW114" s="26" t="s">
        <v>163</v>
      </c>
      <c r="AX114" s="26" t="s">
        <v>42</v>
      </c>
      <c r="AY114" s="128" t="s">
        <v>126</v>
      </c>
    </row>
    <row r="115" spans="2:65" s="26" customFormat="1" ht="16.5" customHeight="1" x14ac:dyDescent="0.25">
      <c r="B115" s="169"/>
      <c r="C115" s="170">
        <v>19</v>
      </c>
      <c r="D115" s="170" t="s">
        <v>129</v>
      </c>
      <c r="E115" s="171" t="s">
        <v>164</v>
      </c>
      <c r="F115" s="172" t="s">
        <v>165</v>
      </c>
      <c r="G115" s="173" t="s">
        <v>146</v>
      </c>
      <c r="H115" s="174">
        <f>H113*10</f>
        <v>120.02000000000001</v>
      </c>
      <c r="I115" s="174"/>
      <c r="J115" s="174">
        <f>ROUND(I115*H115,3)</f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0.61799999999999999</v>
      </c>
      <c r="P115" s="177">
        <f>O115*H115</f>
        <v>74.172360000000012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28" t="s">
        <v>132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132</v>
      </c>
      <c r="BM115" s="128" t="s">
        <v>186</v>
      </c>
    </row>
    <row r="116" spans="2:65" s="26" customFormat="1" x14ac:dyDescent="0.25">
      <c r="B116" s="132"/>
      <c r="D116" s="179" t="s">
        <v>161</v>
      </c>
      <c r="E116" s="128" t="s">
        <v>9</v>
      </c>
      <c r="F116" s="143" t="s">
        <v>413</v>
      </c>
      <c r="H116" s="166"/>
      <c r="L116" s="132"/>
      <c r="M116" s="180"/>
      <c r="T116" s="181"/>
      <c r="AT116" s="128" t="s">
        <v>161</v>
      </c>
      <c r="AU116" s="128" t="s">
        <v>88</v>
      </c>
      <c r="AV116" s="26" t="s">
        <v>88</v>
      </c>
      <c r="AW116" s="26" t="s">
        <v>163</v>
      </c>
      <c r="AX116" s="26" t="s">
        <v>42</v>
      </c>
      <c r="AY116" s="128" t="s">
        <v>126</v>
      </c>
    </row>
    <row r="117" spans="2:65" s="26" customFormat="1" ht="16.5" customHeight="1" x14ac:dyDescent="0.25">
      <c r="B117" s="169"/>
      <c r="C117" s="170">
        <v>20</v>
      </c>
      <c r="D117" s="170" t="s">
        <v>129</v>
      </c>
      <c r="E117" s="171" t="s">
        <v>167</v>
      </c>
      <c r="F117" s="172" t="s">
        <v>168</v>
      </c>
      <c r="G117" s="173" t="s">
        <v>146</v>
      </c>
      <c r="H117" s="174">
        <v>12.002000000000001</v>
      </c>
      <c r="I117" s="174"/>
      <c r="J117" s="174">
        <f>ROUND(I117*H117,3)</f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0.59799999999999998</v>
      </c>
      <c r="P117" s="177">
        <f>O117*H117</f>
        <v>7.1771960000000004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128" t="s">
        <v>132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132</v>
      </c>
      <c r="BM117" s="128" t="s">
        <v>188</v>
      </c>
    </row>
    <row r="118" spans="2:65" s="26" customFormat="1" x14ac:dyDescent="0.25">
      <c r="B118" s="132"/>
      <c r="D118" s="179" t="s">
        <v>161</v>
      </c>
      <c r="E118" s="128" t="s">
        <v>9</v>
      </c>
      <c r="F118" s="143" t="s">
        <v>90</v>
      </c>
      <c r="H118" s="166">
        <v>12.002000000000001</v>
      </c>
      <c r="L118" s="132"/>
      <c r="M118" s="180"/>
      <c r="T118" s="181"/>
      <c r="AT118" s="128" t="s">
        <v>161</v>
      </c>
      <c r="AU118" s="128" t="s">
        <v>88</v>
      </c>
      <c r="AV118" s="26" t="s">
        <v>88</v>
      </c>
      <c r="AW118" s="26" t="s">
        <v>163</v>
      </c>
      <c r="AX118" s="26" t="s">
        <v>42</v>
      </c>
      <c r="AY118" s="128" t="s">
        <v>126</v>
      </c>
    </row>
    <row r="119" spans="2:65" s="26" customFormat="1" ht="16.5" customHeight="1" x14ac:dyDescent="0.25">
      <c r="B119" s="169"/>
      <c r="C119" s="170">
        <v>21</v>
      </c>
      <c r="D119" s="170" t="s">
        <v>129</v>
      </c>
      <c r="E119" s="171" t="s">
        <v>170</v>
      </c>
      <c r="F119" s="172" t="s">
        <v>171</v>
      </c>
      <c r="G119" s="173" t="s">
        <v>146</v>
      </c>
      <c r="H119" s="174">
        <v>168.03100000000001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7.0000000000000001E-3</v>
      </c>
      <c r="P119" s="177">
        <f>O119*H119</f>
        <v>1.1762170000000001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128" t="s">
        <v>132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132</v>
      </c>
      <c r="BM119" s="128" t="s">
        <v>189</v>
      </c>
    </row>
    <row r="120" spans="2:65" s="26" customFormat="1" x14ac:dyDescent="0.25">
      <c r="B120" s="132"/>
      <c r="D120" s="179" t="s">
        <v>161</v>
      </c>
      <c r="E120" s="128" t="s">
        <v>9</v>
      </c>
      <c r="F120" s="143" t="s">
        <v>414</v>
      </c>
      <c r="H120" s="166">
        <v>168.03100000000001</v>
      </c>
      <c r="L120" s="132"/>
      <c r="M120" s="180"/>
      <c r="T120" s="181"/>
      <c r="AT120" s="128" t="s">
        <v>161</v>
      </c>
      <c r="AU120" s="128" t="s">
        <v>88</v>
      </c>
      <c r="AV120" s="26" t="s">
        <v>88</v>
      </c>
      <c r="AW120" s="26" t="s">
        <v>163</v>
      </c>
      <c r="AX120" s="26" t="s">
        <v>42</v>
      </c>
      <c r="AY120" s="128" t="s">
        <v>126</v>
      </c>
    </row>
    <row r="121" spans="2:65" s="158" customFormat="1" ht="25.9" customHeight="1" x14ac:dyDescent="0.2">
      <c r="B121" s="157"/>
      <c r="D121" s="159" t="s">
        <v>123</v>
      </c>
      <c r="E121" s="160" t="s">
        <v>191</v>
      </c>
      <c r="F121" s="160" t="s">
        <v>192</v>
      </c>
      <c r="J121" s="161">
        <f>J122+J133+J140</f>
        <v>0</v>
      </c>
      <c r="L121" s="182"/>
      <c r="M121" s="162"/>
      <c r="P121" s="163">
        <f>P122+P133+P140</f>
        <v>714.74223199999983</v>
      </c>
      <c r="R121" s="163">
        <f>R122+R133+R140</f>
        <v>0.17890000000000003</v>
      </c>
      <c r="T121" s="164">
        <f>T122+T133+T140</f>
        <v>109.46557199999998</v>
      </c>
      <c r="AR121" s="159" t="s">
        <v>88</v>
      </c>
      <c r="AT121" s="165" t="s">
        <v>123</v>
      </c>
      <c r="AU121" s="165" t="s">
        <v>39</v>
      </c>
      <c r="AY121" s="159" t="s">
        <v>126</v>
      </c>
      <c r="BK121" s="166">
        <f>BK122+BK133+BK140</f>
        <v>0</v>
      </c>
    </row>
    <row r="122" spans="2:65" s="158" customFormat="1" ht="22.9" customHeight="1" x14ac:dyDescent="0.2">
      <c r="B122" s="157"/>
      <c r="D122" s="159" t="s">
        <v>123</v>
      </c>
      <c r="E122" s="167" t="s">
        <v>193</v>
      </c>
      <c r="F122" s="167" t="s">
        <v>194</v>
      </c>
      <c r="J122" s="168">
        <f>SUM(J124:J132)</f>
        <v>0</v>
      </c>
      <c r="L122" s="182"/>
      <c r="M122" s="162"/>
      <c r="P122" s="163">
        <f>SUM(P123:P132)</f>
        <v>499.81651199999988</v>
      </c>
      <c r="R122" s="163">
        <f>SUM(R123:R132)</f>
        <v>0</v>
      </c>
      <c r="T122" s="164">
        <f>SUM(T123:T132)</f>
        <v>99.245951999999988</v>
      </c>
      <c r="AR122" s="159" t="s">
        <v>88</v>
      </c>
      <c r="AT122" s="165" t="s">
        <v>123</v>
      </c>
      <c r="AU122" s="165" t="s">
        <v>42</v>
      </c>
      <c r="AY122" s="159" t="s">
        <v>126</v>
      </c>
      <c r="BK122" s="166">
        <f>SUM(BK123:BK132)</f>
        <v>0</v>
      </c>
    </row>
    <row r="124" spans="2:65" s="26" customFormat="1" ht="16.5" customHeight="1" x14ac:dyDescent="0.25">
      <c r="B124" s="169"/>
      <c r="C124" s="170">
        <v>22</v>
      </c>
      <c r="D124" s="170" t="s">
        <v>129</v>
      </c>
      <c r="E124" s="171" t="s">
        <v>199</v>
      </c>
      <c r="F124" s="172" t="s">
        <v>200</v>
      </c>
      <c r="G124" s="173" t="s">
        <v>136</v>
      </c>
      <c r="H124" s="174">
        <v>164</v>
      </c>
      <c r="I124" s="174"/>
      <c r="J124" s="174">
        <f>ROUND(I124*H124,3)</f>
        <v>0</v>
      </c>
      <c r="K124" s="172" t="s">
        <v>9</v>
      </c>
      <c r="L124" s="132"/>
      <c r="M124" s="175" t="s">
        <v>9</v>
      </c>
      <c r="N124" s="176" t="s">
        <v>27</v>
      </c>
      <c r="O124" s="177">
        <v>2.7E-2</v>
      </c>
      <c r="P124" s="177">
        <f>O124*H124</f>
        <v>4.4279999999999999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201</v>
      </c>
    </row>
    <row r="125" spans="2:65" s="26" customFormat="1" ht="16.5" customHeight="1" x14ac:dyDescent="0.25">
      <c r="B125" s="169"/>
      <c r="C125" s="170">
        <v>23</v>
      </c>
      <c r="D125" s="170" t="s">
        <v>129</v>
      </c>
      <c r="E125" s="171" t="s">
        <v>210</v>
      </c>
      <c r="F125" s="172" t="s">
        <v>211</v>
      </c>
      <c r="G125" s="173" t="s">
        <v>136</v>
      </c>
      <c r="H125" s="174">
        <f>H126</f>
        <v>2948.16</v>
      </c>
      <c r="I125" s="174"/>
      <c r="J125" s="174">
        <f>ROUND(I125*H125,3)</f>
        <v>0</v>
      </c>
      <c r="K125" s="172" t="s">
        <v>9</v>
      </c>
      <c r="L125" s="132"/>
      <c r="M125" s="175" t="s">
        <v>9</v>
      </c>
      <c r="N125" s="176" t="s">
        <v>27</v>
      </c>
      <c r="O125" s="177">
        <v>7.0999999999999994E-2</v>
      </c>
      <c r="P125" s="177">
        <f>O125*H125</f>
        <v>209.31935999999996</v>
      </c>
      <c r="Q125" s="177">
        <v>0</v>
      </c>
      <c r="R125" s="177">
        <f>Q125*H125</f>
        <v>0</v>
      </c>
      <c r="S125" s="177">
        <v>1.6E-2</v>
      </c>
      <c r="T125" s="178">
        <f>S125*H125</f>
        <v>47.170560000000002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212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415</v>
      </c>
      <c r="H126" s="166">
        <f>2405.16+543</f>
        <v>2948.16</v>
      </c>
      <c r="L126" s="132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>
        <v>24</v>
      </c>
      <c r="D127" s="170" t="s">
        <v>129</v>
      </c>
      <c r="E127" s="171" t="s">
        <v>214</v>
      </c>
      <c r="F127" s="172" t="s">
        <v>416</v>
      </c>
      <c r="G127" s="173" t="s">
        <v>136</v>
      </c>
      <c r="H127" s="174">
        <f>H130</f>
        <v>7215.48</v>
      </c>
      <c r="I127" s="174"/>
      <c r="J127" s="174">
        <f>ROUND(I127*H127,3)</f>
        <v>0</v>
      </c>
      <c r="K127" s="172" t="s">
        <v>156</v>
      </c>
      <c r="L127" s="126"/>
      <c r="M127" s="175" t="s">
        <v>9</v>
      </c>
      <c r="N127" s="176" t="s">
        <v>27</v>
      </c>
      <c r="O127" s="177">
        <v>8.0000000000000002E-3</v>
      </c>
      <c r="P127" s="177">
        <f>O127*H127</f>
        <v>57.723839999999996</v>
      </c>
      <c r="Q127" s="177">
        <v>0</v>
      </c>
      <c r="R127" s="177">
        <f>Q127*H127</f>
        <v>0</v>
      </c>
      <c r="S127" s="177">
        <v>6.0000000000000001E-3</v>
      </c>
      <c r="T127" s="178">
        <f>S127*H127</f>
        <v>43.292879999999997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216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417</v>
      </c>
      <c r="H128" s="166">
        <f>2405.16*3</f>
        <v>7215.48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x14ac:dyDescent="0.25">
      <c r="B129" s="132"/>
      <c r="D129" s="179"/>
      <c r="E129" s="128"/>
      <c r="F129" s="143"/>
      <c r="H129" s="166"/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39</v>
      </c>
      <c r="AY129" s="128" t="s">
        <v>126</v>
      </c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218</v>
      </c>
      <c r="H130" s="166">
        <f>SUM(H128)</f>
        <v>7215.48</v>
      </c>
      <c r="L130" s="132"/>
      <c r="M130" s="180"/>
      <c r="T130" s="181"/>
      <c r="AT130" s="128" t="s">
        <v>161</v>
      </c>
      <c r="AU130" s="128" t="s">
        <v>88</v>
      </c>
      <c r="AV130" s="26" t="s">
        <v>132</v>
      </c>
      <c r="AW130" s="26" t="s">
        <v>163</v>
      </c>
      <c r="AX130" s="26" t="s">
        <v>42</v>
      </c>
      <c r="AY130" s="128" t="s">
        <v>126</v>
      </c>
    </row>
    <row r="131" spans="2:65" s="26" customFormat="1" ht="16.5" customHeight="1" x14ac:dyDescent="0.25">
      <c r="B131" s="169"/>
      <c r="C131" s="170">
        <v>25</v>
      </c>
      <c r="D131" s="170" t="s">
        <v>129</v>
      </c>
      <c r="E131" s="171" t="s">
        <v>219</v>
      </c>
      <c r="F131" s="172" t="s">
        <v>220</v>
      </c>
      <c r="G131" s="173" t="s">
        <v>136</v>
      </c>
      <c r="H131" s="174">
        <f>2405.16*0.6</f>
        <v>1443.0959999999998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 t="s">
        <v>27</v>
      </c>
      <c r="O131" s="177">
        <v>5.1999999999999998E-2</v>
      </c>
      <c r="P131" s="177">
        <f>O131*H131</f>
        <v>75.040991999999989</v>
      </c>
      <c r="Q131" s="177">
        <v>0</v>
      </c>
      <c r="R131" s="177">
        <f>Q131*H131</f>
        <v>0</v>
      </c>
      <c r="S131" s="177">
        <v>2E-3</v>
      </c>
      <c r="T131" s="178">
        <f>S131*H131</f>
        <v>2.8861919999999994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221</v>
      </c>
    </row>
    <row r="132" spans="2:65" s="26" customFormat="1" ht="16.5" customHeight="1" x14ac:dyDescent="0.25">
      <c r="B132" s="169"/>
      <c r="C132" s="170">
        <v>26</v>
      </c>
      <c r="D132" s="170" t="s">
        <v>129</v>
      </c>
      <c r="E132" s="171" t="s">
        <v>219</v>
      </c>
      <c r="F132" s="172" t="s">
        <v>222</v>
      </c>
      <c r="G132" s="173" t="s">
        <v>136</v>
      </c>
      <c r="H132" s="174">
        <f>H125</f>
        <v>2948.16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5.1999999999999998E-2</v>
      </c>
      <c r="P132" s="177">
        <f>O132*H132</f>
        <v>153.30431999999999</v>
      </c>
      <c r="Q132" s="177">
        <v>0</v>
      </c>
      <c r="R132" s="177">
        <f>Q132*H132</f>
        <v>0</v>
      </c>
      <c r="S132" s="177">
        <v>2E-3</v>
      </c>
      <c r="T132" s="178">
        <f>S132*H132</f>
        <v>5.8963200000000002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221</v>
      </c>
    </row>
    <row r="133" spans="2:65" s="158" customFormat="1" ht="22.9" customHeight="1" x14ac:dyDescent="0.2">
      <c r="B133" s="157"/>
      <c r="D133" s="159" t="s">
        <v>123</v>
      </c>
      <c r="E133" s="167" t="s">
        <v>223</v>
      </c>
      <c r="F133" s="167" t="s">
        <v>224</v>
      </c>
      <c r="J133" s="168">
        <f>SUM(J134:J139)</f>
        <v>0</v>
      </c>
      <c r="L133" s="182"/>
      <c r="M133" s="162"/>
      <c r="P133" s="163">
        <f>SUM(P134:P139)</f>
        <v>202.64571999999995</v>
      </c>
      <c r="R133" s="163">
        <f>SUM(R134:R139)</f>
        <v>0.16640000000000002</v>
      </c>
      <c r="T133" s="164">
        <f>SUM(T134:T139)</f>
        <v>9.969619999999999</v>
      </c>
      <c r="AR133" s="159" t="s">
        <v>88</v>
      </c>
      <c r="AT133" s="165" t="s">
        <v>123</v>
      </c>
      <c r="AU133" s="165" t="s">
        <v>42</v>
      </c>
      <c r="AY133" s="159" t="s">
        <v>126</v>
      </c>
      <c r="BK133" s="166">
        <f>SUM(BK134:BK139)</f>
        <v>0</v>
      </c>
    </row>
    <row r="134" spans="2:65" s="26" customFormat="1" ht="16.5" customHeight="1" x14ac:dyDescent="0.25">
      <c r="B134" s="169"/>
      <c r="C134" s="170">
        <v>27</v>
      </c>
      <c r="D134" s="170" t="s">
        <v>129</v>
      </c>
      <c r="E134" s="171" t="s">
        <v>225</v>
      </c>
      <c r="F134" s="172" t="s">
        <v>226</v>
      </c>
      <c r="G134" s="173" t="s">
        <v>205</v>
      </c>
      <c r="H134" s="174">
        <v>78</v>
      </c>
      <c r="I134" s="174"/>
      <c r="J134" s="174">
        <f t="shared" ref="J134:J139" si="0"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0.50117999999999996</v>
      </c>
      <c r="P134" s="177">
        <f>O134*H134</f>
        <v>39.092039999999997</v>
      </c>
      <c r="Q134" s="177">
        <v>1.6000000000000001E-3</v>
      </c>
      <c r="R134" s="177">
        <f>Q134*H134</f>
        <v>0.12480000000000001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227</v>
      </c>
    </row>
    <row r="135" spans="2:65" s="26" customFormat="1" ht="16.5" customHeight="1" x14ac:dyDescent="0.25">
      <c r="B135" s="169"/>
      <c r="C135" s="170">
        <v>28</v>
      </c>
      <c r="D135" s="170" t="s">
        <v>129</v>
      </c>
      <c r="E135" s="171" t="s">
        <v>228</v>
      </c>
      <c r="F135" s="172" t="s">
        <v>229</v>
      </c>
      <c r="G135" s="173" t="s">
        <v>230</v>
      </c>
      <c r="H135" s="174">
        <v>206</v>
      </c>
      <c r="I135" s="174"/>
      <c r="J135" s="174">
        <f t="shared" si="0"/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7.4999999999999997E-2</v>
      </c>
      <c r="P135" s="177">
        <f>O135*H135</f>
        <v>15.45</v>
      </c>
      <c r="Q135" s="177">
        <v>0</v>
      </c>
      <c r="R135" s="177">
        <f>Q135*H135</f>
        <v>0</v>
      </c>
      <c r="S135" s="177">
        <v>2.5200000000000001E-3</v>
      </c>
      <c r="T135" s="178">
        <f>S135*H135</f>
        <v>0.51912000000000003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231</v>
      </c>
    </row>
    <row r="136" spans="2:65" s="26" customFormat="1" ht="16.5" customHeight="1" x14ac:dyDescent="0.25">
      <c r="B136" s="169"/>
      <c r="C136" s="170">
        <v>29</v>
      </c>
      <c r="D136" s="170" t="s">
        <v>129</v>
      </c>
      <c r="E136" s="171" t="s">
        <v>232</v>
      </c>
      <c r="F136" s="172" t="s">
        <v>233</v>
      </c>
      <c r="G136" s="173" t="s">
        <v>234</v>
      </c>
      <c r="H136" s="174">
        <v>461</v>
      </c>
      <c r="I136" s="174"/>
      <c r="J136" s="174">
        <f t="shared" si="0"/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0.29299999999999998</v>
      </c>
      <c r="P136" s="177">
        <f>O136*H136</f>
        <v>135.07299999999998</v>
      </c>
      <c r="Q136" s="177">
        <v>0</v>
      </c>
      <c r="R136" s="177">
        <f>Q136*H136</f>
        <v>0</v>
      </c>
      <c r="S136" s="177">
        <v>2.0500000000000001E-2</v>
      </c>
      <c r="T136" s="178">
        <f>S136*H136</f>
        <v>9.4504999999999999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235</v>
      </c>
    </row>
    <row r="137" spans="2:65" s="26" customFormat="1" ht="16.5" customHeight="1" x14ac:dyDescent="0.25">
      <c r="B137" s="169"/>
      <c r="C137" s="170">
        <v>30</v>
      </c>
      <c r="D137" s="170" t="s">
        <v>129</v>
      </c>
      <c r="E137" s="171" t="s">
        <v>239</v>
      </c>
      <c r="F137" s="172" t="s">
        <v>240</v>
      </c>
      <c r="G137" s="173" t="s">
        <v>205</v>
      </c>
      <c r="H137" s="174">
        <v>23</v>
      </c>
      <c r="I137" s="174"/>
      <c r="J137" s="174">
        <f t="shared" si="0"/>
        <v>0</v>
      </c>
      <c r="K137" s="172" t="s">
        <v>9</v>
      </c>
      <c r="L137" s="132"/>
      <c r="M137" s="175" t="s">
        <v>9</v>
      </c>
      <c r="N137" s="176" t="s">
        <v>27</v>
      </c>
      <c r="O137" s="177">
        <v>0.50117999999999996</v>
      </c>
      <c r="P137" s="177">
        <f>O137*H137</f>
        <v>11.527139999999999</v>
      </c>
      <c r="Q137" s="177">
        <v>1.6000000000000001E-3</v>
      </c>
      <c r="R137" s="177">
        <f>Q137*H137</f>
        <v>3.6799999999999999E-2</v>
      </c>
      <c r="S137" s="177">
        <v>0</v>
      </c>
      <c r="T137" s="178">
        <f>S137*H137</f>
        <v>0</v>
      </c>
      <c r="AR137" s="128" t="s">
        <v>197</v>
      </c>
      <c r="AT137" s="128" t="s">
        <v>129</v>
      </c>
      <c r="AU137" s="128" t="s">
        <v>88</v>
      </c>
      <c r="AY137" s="128" t="s">
        <v>126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28" t="s">
        <v>88</v>
      </c>
      <c r="BK137" s="166">
        <f>ROUND(I137*H137,3)</f>
        <v>0</v>
      </c>
      <c r="BL137" s="128" t="s">
        <v>197</v>
      </c>
      <c r="BM137" s="128" t="s">
        <v>241</v>
      </c>
    </row>
    <row r="138" spans="2:65" s="26" customFormat="1" ht="16.5" customHeight="1" x14ac:dyDescent="0.25">
      <c r="B138" s="169"/>
      <c r="C138" s="170" t="s">
        <v>418</v>
      </c>
      <c r="D138" s="170" t="s">
        <v>129</v>
      </c>
      <c r="E138" s="171" t="s">
        <v>237</v>
      </c>
      <c r="F138" s="172" t="s">
        <v>238</v>
      </c>
      <c r="G138" s="173" t="s">
        <v>230</v>
      </c>
      <c r="H138" s="174">
        <v>235</v>
      </c>
      <c r="I138" s="174"/>
      <c r="J138" s="174">
        <f t="shared" si="0"/>
        <v>0</v>
      </c>
      <c r="K138" s="172"/>
      <c r="L138" s="132"/>
      <c r="M138" s="175"/>
      <c r="N138" s="176"/>
      <c r="O138" s="177"/>
      <c r="P138" s="177"/>
      <c r="Q138" s="177"/>
      <c r="R138" s="177"/>
      <c r="S138" s="177"/>
      <c r="T138" s="178"/>
      <c r="AR138" s="128"/>
      <c r="AT138" s="128"/>
      <c r="AU138" s="128"/>
      <c r="AY138" s="128"/>
      <c r="BE138" s="138"/>
      <c r="BF138" s="138"/>
      <c r="BG138" s="138"/>
      <c r="BH138" s="138"/>
      <c r="BI138" s="138"/>
      <c r="BJ138" s="128"/>
      <c r="BK138" s="166"/>
      <c r="BL138" s="128"/>
      <c r="BM138" s="128"/>
    </row>
    <row r="139" spans="2:65" s="26" customFormat="1" ht="16.5" customHeight="1" x14ac:dyDescent="0.25">
      <c r="B139" s="169"/>
      <c r="C139" s="170">
        <v>31</v>
      </c>
      <c r="D139" s="170" t="s">
        <v>129</v>
      </c>
      <c r="E139" s="171" t="s">
        <v>203</v>
      </c>
      <c r="F139" s="172" t="s">
        <v>204</v>
      </c>
      <c r="G139" s="173" t="s">
        <v>205</v>
      </c>
      <c r="H139" s="174">
        <v>3</v>
      </c>
      <c r="I139" s="174"/>
      <c r="J139" s="174">
        <f t="shared" si="0"/>
        <v>0</v>
      </c>
      <c r="K139" s="172" t="s">
        <v>9</v>
      </c>
      <c r="L139" s="132"/>
      <c r="M139" s="175" t="s">
        <v>9</v>
      </c>
      <c r="N139" s="176" t="s">
        <v>27</v>
      </c>
      <c r="O139" s="177">
        <v>0.50117999999999996</v>
      </c>
      <c r="P139" s="177">
        <f>O139*H139</f>
        <v>1.5035399999999999</v>
      </c>
      <c r="Q139" s="177">
        <v>1.6000000000000001E-3</v>
      </c>
      <c r="R139" s="177">
        <f>Q139*H139</f>
        <v>4.8000000000000004E-3</v>
      </c>
      <c r="S139" s="177">
        <v>0</v>
      </c>
      <c r="T139" s="178">
        <f>S139*H139</f>
        <v>0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206</v>
      </c>
    </row>
    <row r="140" spans="2:65" s="158" customFormat="1" ht="22.9" customHeight="1" x14ac:dyDescent="0.2">
      <c r="B140" s="157"/>
      <c r="D140" s="159" t="s">
        <v>123</v>
      </c>
      <c r="E140" s="167" t="s">
        <v>242</v>
      </c>
      <c r="F140" s="167" t="s">
        <v>243</v>
      </c>
      <c r="J140" s="168">
        <f>SUM(J141)</f>
        <v>0</v>
      </c>
      <c r="L140" s="157"/>
      <c r="M140" s="162"/>
      <c r="P140" s="163">
        <f>P141</f>
        <v>12.28</v>
      </c>
      <c r="R140" s="163">
        <f>R141</f>
        <v>1.2500000000000001E-2</v>
      </c>
      <c r="T140" s="164">
        <f>T141</f>
        <v>0.25</v>
      </c>
      <c r="AR140" s="159" t="s">
        <v>88</v>
      </c>
      <c r="AT140" s="165" t="s">
        <v>123</v>
      </c>
      <c r="AU140" s="165" t="s">
        <v>42</v>
      </c>
      <c r="AY140" s="159" t="s">
        <v>126</v>
      </c>
      <c r="BK140" s="166">
        <f>BK141</f>
        <v>0</v>
      </c>
    </row>
    <row r="141" spans="2:65" s="26" customFormat="1" ht="16.5" customHeight="1" x14ac:dyDescent="0.25">
      <c r="B141" s="169"/>
      <c r="C141" s="170">
        <v>32</v>
      </c>
      <c r="D141" s="170" t="s">
        <v>129</v>
      </c>
      <c r="E141" s="171" t="s">
        <v>244</v>
      </c>
      <c r="F141" s="172" t="s">
        <v>245</v>
      </c>
      <c r="G141" s="173" t="s">
        <v>86</v>
      </c>
      <c r="H141" s="174">
        <v>250</v>
      </c>
      <c r="I141" s="174"/>
      <c r="J141" s="174">
        <f>ROUND(I141*H141,3)</f>
        <v>0</v>
      </c>
      <c r="K141" s="172" t="s">
        <v>156</v>
      </c>
      <c r="L141" s="132"/>
      <c r="M141" s="183" t="s">
        <v>9</v>
      </c>
      <c r="N141" s="184" t="s">
        <v>27</v>
      </c>
      <c r="O141" s="185">
        <v>4.9119999999999997E-2</v>
      </c>
      <c r="P141" s="185">
        <f>O141*H141</f>
        <v>12.28</v>
      </c>
      <c r="Q141" s="185">
        <v>5.0000000000000002E-5</v>
      </c>
      <c r="R141" s="185">
        <f>Q141*H141</f>
        <v>1.2500000000000001E-2</v>
      </c>
      <c r="S141" s="185">
        <v>1E-3</v>
      </c>
      <c r="T141" s="186">
        <f>S141*H141</f>
        <v>0.25</v>
      </c>
      <c r="AR141" s="128" t="s">
        <v>197</v>
      </c>
      <c r="AT141" s="128" t="s">
        <v>129</v>
      </c>
      <c r="AU141" s="128" t="s">
        <v>88</v>
      </c>
      <c r="AY141" s="128" t="s">
        <v>126</v>
      </c>
      <c r="BE141" s="138">
        <f>IF(N141="základná",J141,0)</f>
        <v>0</v>
      </c>
      <c r="BF141" s="138">
        <f>IF(N141="znížená",J141,0)</f>
        <v>0</v>
      </c>
      <c r="BG141" s="138">
        <f>IF(N141="zákl. prenesená",J141,0)</f>
        <v>0</v>
      </c>
      <c r="BH141" s="138">
        <f>IF(N141="zníž. prenesená",J141,0)</f>
        <v>0</v>
      </c>
      <c r="BI141" s="138">
        <f>IF(N141="nulová",J141,0)</f>
        <v>0</v>
      </c>
      <c r="BJ141" s="128" t="s">
        <v>88</v>
      </c>
      <c r="BK141" s="166">
        <f>ROUND(I141*H141,3)</f>
        <v>0</v>
      </c>
      <c r="BL141" s="128" t="s">
        <v>197</v>
      </c>
      <c r="BM141" s="128" t="s">
        <v>246</v>
      </c>
    </row>
    <row r="142" spans="2:65" s="26" customFormat="1" ht="6.95" customHeight="1" x14ac:dyDescent="0.25">
      <c r="B142" s="141"/>
      <c r="C142" s="36"/>
      <c r="D142" s="36"/>
      <c r="E142" s="36"/>
      <c r="F142" s="36"/>
      <c r="G142" s="36"/>
      <c r="H142" s="36"/>
      <c r="I142" s="36"/>
      <c r="J142" s="36"/>
      <c r="K142" s="36"/>
      <c r="L142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topLeftCell="A82" workbookViewId="0">
      <selection activeCell="I92" sqref="I92:I156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49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487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ROUND((SUM(BE89:BE146)),  2)</f>
        <v>0</v>
      </c>
      <c r="I33" s="139">
        <v>0.2</v>
      </c>
      <c r="J33" s="138">
        <f>ROUND(((SUM(BE89:BE146))*I33),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ROUND((SUM(BF89:BF146)),  2)</f>
        <v>0</v>
      </c>
      <c r="I34" s="139">
        <v>0.2</v>
      </c>
      <c r="J34" s="138">
        <f>ROUND(((SUM(BF89:BF146))*I34),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ROUND((SUM(BG89:BG146)),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ROUND((SUM(BH89:BH146)),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ROUND((SUM(BI89:BI146)),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B -montáž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J98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J101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J118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J123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J136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J144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J145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419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J90+J100+J144+J148</f>
        <v>0</v>
      </c>
      <c r="L89" s="132"/>
      <c r="M89" s="153"/>
      <c r="N89" s="134"/>
      <c r="O89" s="134"/>
      <c r="P89" s="154">
        <f>P90+P100+P144</f>
        <v>3179.6442265999999</v>
      </c>
      <c r="Q89" s="134"/>
      <c r="R89" s="154">
        <f>R90+R100+R144</f>
        <v>121.68729150999999</v>
      </c>
      <c r="S89" s="134"/>
      <c r="T89" s="155">
        <f>T90+T100+T144</f>
        <v>0</v>
      </c>
      <c r="AT89" s="128" t="s">
        <v>123</v>
      </c>
      <c r="AU89" s="128" t="s">
        <v>101</v>
      </c>
      <c r="BK89" s="156">
        <f>BK90+BK100+BK144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BK90</f>
        <v>0</v>
      </c>
      <c r="L90" s="157"/>
      <c r="M90" s="162"/>
      <c r="P90" s="163">
        <f>P91+P98</f>
        <v>426.74616799999995</v>
      </c>
      <c r="R90" s="163">
        <f>R91+R98</f>
        <v>72.874710359999995</v>
      </c>
      <c r="T90" s="164">
        <f>T91+T98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BK91+BK98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SUM(J92:J96)</f>
        <v>0</v>
      </c>
      <c r="L91" s="157"/>
      <c r="M91" s="162"/>
      <c r="P91" s="163">
        <f>SUM(P92:P97)</f>
        <v>421.24326799999994</v>
      </c>
      <c r="R91" s="163">
        <f>SUM(R92:R97)</f>
        <v>72.874710359999995</v>
      </c>
      <c r="T91" s="164">
        <f>SUM(T92:T97)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SUM(BK92:BK97)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41.2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13.101600000000001</v>
      </c>
      <c r="Q92" s="177">
        <v>4.0899999999999999E-3</v>
      </c>
      <c r="R92" s="177">
        <f>Q92*H92</f>
        <v>0.16850800000000002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420</v>
      </c>
      <c r="G93" s="173" t="s">
        <v>136</v>
      </c>
      <c r="H93" s="174">
        <v>164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0.34309000000000001</v>
      </c>
      <c r="P93" s="177">
        <f>O93*H93</f>
        <v>56.266759999999998</v>
      </c>
      <c r="Q93" s="177">
        <v>4.4000000000000002E-4</v>
      </c>
      <c r="R93" s="177">
        <f>Q93*H93</f>
        <v>7.2160000000000002E-2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260</v>
      </c>
    </row>
    <row r="94" spans="2:65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421</v>
      </c>
      <c r="G94" s="190" t="s">
        <v>205</v>
      </c>
      <c r="H94" s="191">
        <f>H93*25</f>
        <v>4100</v>
      </c>
      <c r="I94" s="191"/>
      <c r="J94" s="191">
        <f>ROUND(I94*H94,3)</f>
        <v>0</v>
      </c>
      <c r="K94" s="189" t="s">
        <v>156</v>
      </c>
      <c r="L94" s="199"/>
      <c r="M94" s="200" t="s">
        <v>9</v>
      </c>
      <c r="N94" s="201" t="s">
        <v>27</v>
      </c>
      <c r="O94" s="177">
        <v>0</v>
      </c>
      <c r="P94" s="177">
        <f>O94*H94</f>
        <v>0</v>
      </c>
      <c r="Q94" s="177">
        <v>1.4999999999999999E-2</v>
      </c>
      <c r="R94" s="177">
        <f>Q94*H94</f>
        <v>61.5</v>
      </c>
      <c r="S94" s="177">
        <v>0</v>
      </c>
      <c r="T94" s="178">
        <f>S94*H94</f>
        <v>0</v>
      </c>
      <c r="AR94" s="128" t="s">
        <v>264</v>
      </c>
      <c r="AT94" s="128" t="s">
        <v>261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265</v>
      </c>
    </row>
    <row r="95" spans="2:65" s="26" customFormat="1" ht="16.5" customHeight="1" x14ac:dyDescent="0.25">
      <c r="B95" s="169"/>
      <c r="C95" s="187" t="s">
        <v>132</v>
      </c>
      <c r="D95" s="187" t="s">
        <v>261</v>
      </c>
      <c r="E95" s="188" t="s">
        <v>268</v>
      </c>
      <c r="F95" s="189" t="s">
        <v>271</v>
      </c>
      <c r="G95" s="190" t="s">
        <v>205</v>
      </c>
      <c r="H95" s="191">
        <f>H93*12.2</f>
        <v>2000.8</v>
      </c>
      <c r="I95" s="191"/>
      <c r="J95" s="191">
        <f>ROUND(I95*H95,3)</f>
        <v>0</v>
      </c>
      <c r="K95" s="189" t="s">
        <v>156</v>
      </c>
      <c r="L95" s="199"/>
      <c r="M95" s="200" t="s">
        <v>9</v>
      </c>
      <c r="N95" s="201" t="s">
        <v>27</v>
      </c>
      <c r="O95" s="177">
        <v>0</v>
      </c>
      <c r="P95" s="177">
        <f>O95*H95</f>
        <v>0</v>
      </c>
      <c r="Q95" s="177">
        <v>6.9999999999999994E-5</v>
      </c>
      <c r="R95" s="177">
        <f>Q95*H95</f>
        <v>0.14005599999999999</v>
      </c>
      <c r="S95" s="177">
        <v>0</v>
      </c>
      <c r="T95" s="178">
        <f>S95*H95</f>
        <v>0</v>
      </c>
      <c r="AR95" s="128" t="s">
        <v>264</v>
      </c>
      <c r="AT95" s="128" t="s">
        <v>261</v>
      </c>
      <c r="AU95" s="128" t="s">
        <v>88</v>
      </c>
      <c r="AY95" s="128" t="s">
        <v>126</v>
      </c>
      <c r="BE95" s="138">
        <f>IF(N95="základná",J95,0)</f>
        <v>0</v>
      </c>
      <c r="BF95" s="138">
        <f>IF(N95="znížená",J95,0)</f>
        <v>0</v>
      </c>
      <c r="BG95" s="138">
        <f>IF(N95="zákl. prenesená",J95,0)</f>
        <v>0</v>
      </c>
      <c r="BH95" s="138">
        <f>IF(N95="zníž. prenesená",J95,0)</f>
        <v>0</v>
      </c>
      <c r="BI95" s="138">
        <f>IF(N95="nulová",J95,0)</f>
        <v>0</v>
      </c>
      <c r="BJ95" s="128" t="s">
        <v>88</v>
      </c>
      <c r="BK95" s="166">
        <f>ROUND(I95*H95,3)</f>
        <v>0</v>
      </c>
      <c r="BL95" s="128" t="s">
        <v>132</v>
      </c>
      <c r="BM95" s="128" t="s">
        <v>270</v>
      </c>
    </row>
    <row r="96" spans="2:65" s="26" customFormat="1" ht="16.5" customHeight="1" x14ac:dyDescent="0.25">
      <c r="B96" s="169"/>
      <c r="C96" s="170" t="s">
        <v>422</v>
      </c>
      <c r="D96" s="170" t="s">
        <v>129</v>
      </c>
      <c r="E96" s="171" t="s">
        <v>272</v>
      </c>
      <c r="F96" s="172" t="s">
        <v>423</v>
      </c>
      <c r="G96" s="173" t="s">
        <v>136</v>
      </c>
      <c r="H96" s="174">
        <f>H107*0.7</f>
        <v>1683.6119999999999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0.20899999999999999</v>
      </c>
      <c r="P96" s="177">
        <f>O96*H96</f>
        <v>351.87490799999995</v>
      </c>
      <c r="Q96" s="177">
        <v>6.5300000000000002E-3</v>
      </c>
      <c r="R96" s="177">
        <f>Q96*H96</f>
        <v>10.993986359999999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274</v>
      </c>
    </row>
    <row r="97" spans="2:65" s="26" customFormat="1" x14ac:dyDescent="0.25">
      <c r="B97" s="132"/>
      <c r="D97" s="179" t="s">
        <v>161</v>
      </c>
      <c r="E97" s="128" t="s">
        <v>9</v>
      </c>
      <c r="F97" s="143" t="s">
        <v>275</v>
      </c>
      <c r="H97" s="166"/>
      <c r="L97" s="132"/>
      <c r="M97" s="180"/>
      <c r="T97" s="181"/>
      <c r="AT97" s="128" t="s">
        <v>161</v>
      </c>
      <c r="AU97" s="128" t="s">
        <v>88</v>
      </c>
      <c r="AV97" s="26" t="s">
        <v>88</v>
      </c>
      <c r="AW97" s="26" t="s">
        <v>163</v>
      </c>
      <c r="AX97" s="26" t="s">
        <v>42</v>
      </c>
      <c r="AY97" s="128" t="s">
        <v>126</v>
      </c>
    </row>
    <row r="98" spans="2:65" s="158" customFormat="1" ht="22.9" customHeight="1" x14ac:dyDescent="0.2">
      <c r="B98" s="157"/>
      <c r="D98" s="159" t="s">
        <v>123</v>
      </c>
      <c r="E98" s="167" t="s">
        <v>276</v>
      </c>
      <c r="F98" s="167" t="s">
        <v>277</v>
      </c>
      <c r="J98" s="168">
        <f>SUM(J99)</f>
        <v>0</v>
      </c>
      <c r="L98" s="157"/>
      <c r="M98" s="162"/>
      <c r="P98" s="163">
        <f>P99</f>
        <v>5.5029000000000003</v>
      </c>
      <c r="R98" s="163">
        <f>R99</f>
        <v>0</v>
      </c>
      <c r="T98" s="164">
        <f>T99</f>
        <v>0</v>
      </c>
      <c r="AR98" s="159" t="s">
        <v>42</v>
      </c>
      <c r="AT98" s="165" t="s">
        <v>123</v>
      </c>
      <c r="AU98" s="165" t="s">
        <v>42</v>
      </c>
      <c r="AY98" s="159" t="s">
        <v>126</v>
      </c>
      <c r="BK98" s="166">
        <f>BK99</f>
        <v>0</v>
      </c>
    </row>
    <row r="99" spans="2:65" s="26" customFormat="1" ht="16.5" customHeight="1" x14ac:dyDescent="0.25">
      <c r="B99" s="169"/>
      <c r="C99" s="170" t="s">
        <v>127</v>
      </c>
      <c r="D99" s="170" t="s">
        <v>129</v>
      </c>
      <c r="E99" s="171" t="s">
        <v>278</v>
      </c>
      <c r="F99" s="172" t="s">
        <v>279</v>
      </c>
      <c r="G99" s="173" t="s">
        <v>146</v>
      </c>
      <c r="H99" s="174">
        <v>16.184999999999999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0.34</v>
      </c>
      <c r="P99" s="177">
        <f>O99*H99</f>
        <v>5.5029000000000003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280</v>
      </c>
    </row>
    <row r="100" spans="2:65" s="158" customFormat="1" ht="25.9" customHeight="1" x14ac:dyDescent="0.2">
      <c r="B100" s="157"/>
      <c r="D100" s="159" t="s">
        <v>123</v>
      </c>
      <c r="E100" s="160" t="s">
        <v>191</v>
      </c>
      <c r="F100" s="160" t="s">
        <v>192</v>
      </c>
      <c r="J100" s="161">
        <f>J101+J118+J123+J136+J139</f>
        <v>0</v>
      </c>
      <c r="L100" s="157"/>
      <c r="M100" s="162"/>
      <c r="P100" s="163">
        <f>P101+P118+P123+P136</f>
        <v>2752.7480585999997</v>
      </c>
      <c r="R100" s="163">
        <f>R101+R118+R123+R136</f>
        <v>48.81258115</v>
      </c>
      <c r="T100" s="164">
        <f>T101+T118+T123+T136</f>
        <v>0</v>
      </c>
      <c r="AR100" s="159" t="s">
        <v>88</v>
      </c>
      <c r="AT100" s="165" t="s">
        <v>123</v>
      </c>
      <c r="AU100" s="165" t="s">
        <v>39</v>
      </c>
      <c r="AY100" s="159" t="s">
        <v>126</v>
      </c>
      <c r="BK100" s="166">
        <f>BK101+BK118+BK123+BK136</f>
        <v>0</v>
      </c>
    </row>
    <row r="101" spans="2:65" s="158" customFormat="1" ht="22.9" customHeight="1" x14ac:dyDescent="0.2">
      <c r="B101" s="157"/>
      <c r="D101" s="159" t="s">
        <v>123</v>
      </c>
      <c r="E101" s="167" t="s">
        <v>193</v>
      </c>
      <c r="F101" s="167" t="s">
        <v>194</v>
      </c>
      <c r="J101" s="168">
        <f>SUM(J102:J117)</f>
        <v>0</v>
      </c>
      <c r="L101" s="157"/>
      <c r="M101" s="162"/>
      <c r="P101" s="163">
        <f>SUM(P102:P117)</f>
        <v>1510.6122045999998</v>
      </c>
      <c r="R101" s="163">
        <f>SUM(R102:R117)</f>
        <v>39.204024400000002</v>
      </c>
      <c r="T101" s="164">
        <f>SUM(T102:T117)</f>
        <v>0</v>
      </c>
      <c r="AR101" s="159" t="s">
        <v>88</v>
      </c>
      <c r="AT101" s="165" t="s">
        <v>123</v>
      </c>
      <c r="AU101" s="165" t="s">
        <v>42</v>
      </c>
      <c r="AY101" s="159" t="s">
        <v>126</v>
      </c>
      <c r="BK101" s="166">
        <f>SUM(BK102:BK117)</f>
        <v>0</v>
      </c>
    </row>
    <row r="102" spans="2:65" s="26" customFormat="1" ht="16.5" customHeight="1" x14ac:dyDescent="0.25">
      <c r="B102" s="169"/>
      <c r="C102" s="170" t="s">
        <v>424</v>
      </c>
      <c r="D102" s="170" t="s">
        <v>129</v>
      </c>
      <c r="E102" s="171" t="s">
        <v>281</v>
      </c>
      <c r="F102" s="172" t="s">
        <v>282</v>
      </c>
      <c r="G102" s="173" t="s">
        <v>136</v>
      </c>
      <c r="H102" s="174">
        <f>H107+H108</f>
        <v>2949.06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4.3029999999999999E-2</v>
      </c>
      <c r="P102" s="177">
        <f>O102*H102</f>
        <v>126.89805179999999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283</v>
      </c>
    </row>
    <row r="103" spans="2:65" s="26" customFormat="1" ht="16.5" customHeight="1" x14ac:dyDescent="0.25">
      <c r="B103" s="169"/>
      <c r="C103" s="187" t="s">
        <v>264</v>
      </c>
      <c r="D103" s="187" t="s">
        <v>261</v>
      </c>
      <c r="E103" s="188" t="s">
        <v>284</v>
      </c>
      <c r="F103" s="189" t="s">
        <v>285</v>
      </c>
      <c r="G103" s="190" t="s">
        <v>146</v>
      </c>
      <c r="H103" s="191">
        <f>H104</f>
        <v>2.211795</v>
      </c>
      <c r="I103" s="191"/>
      <c r="J103" s="191">
        <f>ROUND(I103*H103,3)</f>
        <v>0</v>
      </c>
      <c r="K103" s="189" t="s">
        <v>156</v>
      </c>
      <c r="L103" s="199"/>
      <c r="M103" s="200" t="s">
        <v>9</v>
      </c>
      <c r="N103" s="201" t="s">
        <v>27</v>
      </c>
      <c r="O103" s="177">
        <v>0</v>
      </c>
      <c r="P103" s="177">
        <f>O103*H103</f>
        <v>0</v>
      </c>
      <c r="Q103" s="177">
        <v>1</v>
      </c>
      <c r="R103" s="177">
        <f>Q103*H103</f>
        <v>2.211795</v>
      </c>
      <c r="S103" s="177">
        <v>0</v>
      </c>
      <c r="T103" s="178">
        <f>S103*H103</f>
        <v>0</v>
      </c>
      <c r="AR103" s="128" t="s">
        <v>286</v>
      </c>
      <c r="AT103" s="128" t="s">
        <v>261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287</v>
      </c>
    </row>
    <row r="104" spans="2:65" s="26" customFormat="1" x14ac:dyDescent="0.25">
      <c r="B104" s="132"/>
      <c r="D104" s="179" t="s">
        <v>161</v>
      </c>
      <c r="F104" s="143" t="s">
        <v>425</v>
      </c>
      <c r="H104" s="166">
        <f>H102*0.00075</f>
        <v>2.211795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</v>
      </c>
      <c r="AX104" s="26" t="s">
        <v>42</v>
      </c>
      <c r="AY104" s="128" t="s">
        <v>126</v>
      </c>
    </row>
    <row r="105" spans="2:65" s="26" customFormat="1" ht="22.5" customHeight="1" x14ac:dyDescent="0.25">
      <c r="B105" s="169"/>
      <c r="C105" s="170" t="s">
        <v>138</v>
      </c>
      <c r="D105" s="170" t="s">
        <v>129</v>
      </c>
      <c r="E105" s="171" t="s">
        <v>289</v>
      </c>
      <c r="F105" s="172" t="s">
        <v>290</v>
      </c>
      <c r="G105" s="173" t="s">
        <v>136</v>
      </c>
      <c r="H105" s="174">
        <f>524</f>
        <v>524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0.17499999999999999</v>
      </c>
      <c r="P105" s="177">
        <f>O105*H105</f>
        <v>91.699999999999989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197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291</v>
      </c>
    </row>
    <row r="106" spans="2:65" s="26" customFormat="1" x14ac:dyDescent="0.25">
      <c r="B106" s="132"/>
      <c r="D106" s="179" t="s">
        <v>161</v>
      </c>
      <c r="E106" s="128" t="s">
        <v>9</v>
      </c>
      <c r="F106" s="143" t="s">
        <v>426</v>
      </c>
      <c r="H106" s="166">
        <v>524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163</v>
      </c>
      <c r="AX106" s="26" t="s">
        <v>42</v>
      </c>
      <c r="AY106" s="128" t="s">
        <v>126</v>
      </c>
    </row>
    <row r="107" spans="2:65" s="26" customFormat="1" ht="22.5" customHeight="1" x14ac:dyDescent="0.25">
      <c r="B107" s="169"/>
      <c r="C107" s="170" t="s">
        <v>427</v>
      </c>
      <c r="D107" s="170" t="s">
        <v>129</v>
      </c>
      <c r="E107" s="171" t="s">
        <v>293</v>
      </c>
      <c r="F107" s="172" t="s">
        <v>294</v>
      </c>
      <c r="G107" s="173" t="s">
        <v>136</v>
      </c>
      <c r="H107" s="174">
        <f>2358*1.02</f>
        <v>2405.16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0.43458000000000002</v>
      </c>
      <c r="P107" s="177">
        <f>O107*H107</f>
        <v>1045.2344327999999</v>
      </c>
      <c r="Q107" s="177">
        <v>9.8999999999999999E-4</v>
      </c>
      <c r="R107" s="177">
        <f>Q107*H107</f>
        <v>2.3811084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295</v>
      </c>
    </row>
    <row r="108" spans="2:65" s="26" customFormat="1" ht="22.5" customHeight="1" x14ac:dyDescent="0.25">
      <c r="B108" s="169"/>
      <c r="C108" s="170" t="s">
        <v>428</v>
      </c>
      <c r="D108" s="170" t="s">
        <v>129</v>
      </c>
      <c r="E108" s="171" t="s">
        <v>296</v>
      </c>
      <c r="F108" s="172" t="s">
        <v>297</v>
      </c>
      <c r="G108" s="173" t="s">
        <v>136</v>
      </c>
      <c r="H108" s="174">
        <f>518*1.05</f>
        <v>543.9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0.435</v>
      </c>
      <c r="P108" s="177">
        <f>O108*H108</f>
        <v>236.59649999999999</v>
      </c>
      <c r="Q108" s="177">
        <v>9.8999999999999999E-4</v>
      </c>
      <c r="R108" s="177">
        <f>Q108*H108</f>
        <v>0.53846099999999997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298</v>
      </c>
    </row>
    <row r="109" spans="2:65" s="26" customFormat="1" ht="16.5" customHeight="1" x14ac:dyDescent="0.25">
      <c r="B109" s="169"/>
      <c r="C109" s="187" t="s">
        <v>429</v>
      </c>
      <c r="D109" s="187" t="s">
        <v>261</v>
      </c>
      <c r="E109" s="188" t="s">
        <v>299</v>
      </c>
      <c r="F109" s="189" t="s">
        <v>300</v>
      </c>
      <c r="G109" s="190" t="s">
        <v>136</v>
      </c>
      <c r="H109" s="191">
        <f>H110</f>
        <v>3391.4189999999999</v>
      </c>
      <c r="I109" s="191"/>
      <c r="J109" s="191">
        <f>ROUND(I109*H109,3)</f>
        <v>0</v>
      </c>
      <c r="K109" s="189" t="s">
        <v>156</v>
      </c>
      <c r="L109" s="199"/>
      <c r="M109" s="200" t="s">
        <v>9</v>
      </c>
      <c r="N109" s="201" t="s">
        <v>27</v>
      </c>
      <c r="O109" s="177">
        <v>0</v>
      </c>
      <c r="P109" s="177">
        <f>O109*H109</f>
        <v>0</v>
      </c>
      <c r="Q109" s="177">
        <v>5.0000000000000001E-3</v>
      </c>
      <c r="R109" s="177">
        <f>Q109*H109</f>
        <v>16.957094999999999</v>
      </c>
      <c r="S109" s="177">
        <v>0</v>
      </c>
      <c r="T109" s="178">
        <f>S109*H109</f>
        <v>0</v>
      </c>
      <c r="AR109" s="128" t="s">
        <v>286</v>
      </c>
      <c r="AT109" s="128" t="s">
        <v>261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301</v>
      </c>
    </row>
    <row r="110" spans="2:65" s="26" customFormat="1" x14ac:dyDescent="0.25">
      <c r="B110" s="132"/>
      <c r="D110" s="179" t="s">
        <v>161</v>
      </c>
      <c r="F110" s="143" t="s">
        <v>430</v>
      </c>
      <c r="H110" s="166">
        <f>(H107+H108)*1.15</f>
        <v>3391.4189999999999</v>
      </c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</v>
      </c>
      <c r="AX110" s="26" t="s">
        <v>42</v>
      </c>
      <c r="AY110" s="128" t="s">
        <v>126</v>
      </c>
    </row>
    <row r="111" spans="2:65" s="26" customFormat="1" ht="16.5" customHeight="1" x14ac:dyDescent="0.25">
      <c r="B111" s="169"/>
      <c r="C111" s="187" t="s">
        <v>431</v>
      </c>
      <c r="D111" s="187" t="s">
        <v>261</v>
      </c>
      <c r="E111" s="188" t="s">
        <v>303</v>
      </c>
      <c r="F111" s="189" t="s">
        <v>304</v>
      </c>
      <c r="G111" s="190" t="s">
        <v>136</v>
      </c>
      <c r="H111" s="191">
        <f>H109</f>
        <v>3391.4189999999999</v>
      </c>
      <c r="I111" s="191"/>
      <c r="J111" s="191">
        <f>ROUND(I111*H111,3)</f>
        <v>0</v>
      </c>
      <c r="K111" s="189" t="s">
        <v>9</v>
      </c>
      <c r="L111" s="199"/>
      <c r="M111" s="200" t="s">
        <v>9</v>
      </c>
      <c r="N111" s="201" t="s">
        <v>27</v>
      </c>
      <c r="O111" s="177">
        <v>0</v>
      </c>
      <c r="P111" s="177">
        <f>O111*H111</f>
        <v>0</v>
      </c>
      <c r="Q111" s="177">
        <v>5.0000000000000001E-3</v>
      </c>
      <c r="R111" s="177">
        <f>Q111*H111</f>
        <v>16.957094999999999</v>
      </c>
      <c r="S111" s="177">
        <v>0</v>
      </c>
      <c r="T111" s="178">
        <f>S111*H111</f>
        <v>0</v>
      </c>
      <c r="AR111" s="128" t="s">
        <v>286</v>
      </c>
      <c r="AT111" s="128" t="s">
        <v>261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305</v>
      </c>
    </row>
    <row r="112" spans="2:65" s="26" customFormat="1" ht="16.5" customHeight="1" x14ac:dyDescent="0.25">
      <c r="B112" s="169"/>
      <c r="C112" s="170" t="s">
        <v>432</v>
      </c>
      <c r="D112" s="170" t="s">
        <v>129</v>
      </c>
      <c r="E112" s="171" t="s">
        <v>306</v>
      </c>
      <c r="F112" s="172" t="s">
        <v>307</v>
      </c>
      <c r="G112" s="173" t="s">
        <v>234</v>
      </c>
      <c r="H112" s="174">
        <f>H124+H126+H130+H132</f>
        <v>848.10000000000014</v>
      </c>
      <c r="I112" s="174"/>
      <c r="J112" s="174">
        <f t="shared" ref="J112:J117" si="0">ROUND(I112*H112,3)</f>
        <v>0</v>
      </c>
      <c r="K112" s="172" t="s">
        <v>9</v>
      </c>
      <c r="L112" s="132"/>
      <c r="M112" s="175" t="s">
        <v>9</v>
      </c>
      <c r="N112" s="176" t="s">
        <v>27</v>
      </c>
      <c r="O112" s="177">
        <v>0</v>
      </c>
      <c r="P112" s="177">
        <f t="shared" ref="P112:P117" si="1">O112*H112</f>
        <v>0</v>
      </c>
      <c r="Q112" s="177">
        <v>0</v>
      </c>
      <c r="R112" s="177">
        <f t="shared" ref="R112:R117" si="2">Q112*H112</f>
        <v>0</v>
      </c>
      <c r="S112" s="177">
        <v>0</v>
      </c>
      <c r="T112" s="178">
        <f t="shared" ref="T112:T117" si="3">S112*H112</f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 t="shared" ref="BE112:BE117" si="4">IF(N112="základná",J112,0)</f>
        <v>0</v>
      </c>
      <c r="BF112" s="138">
        <f t="shared" ref="BF112:BF117" si="5">IF(N112="znížená",J112,0)</f>
        <v>0</v>
      </c>
      <c r="BG112" s="138">
        <f t="shared" ref="BG112:BG117" si="6">IF(N112="zákl. prenesená",J112,0)</f>
        <v>0</v>
      </c>
      <c r="BH112" s="138">
        <f t="shared" ref="BH112:BH117" si="7">IF(N112="zníž. prenesená",J112,0)</f>
        <v>0</v>
      </c>
      <c r="BI112" s="138">
        <f t="shared" ref="BI112:BI117" si="8">IF(N112="nulová",J112,0)</f>
        <v>0</v>
      </c>
      <c r="BJ112" s="128" t="s">
        <v>88</v>
      </c>
      <c r="BK112" s="166">
        <f t="shared" ref="BK112:BK117" si="9">ROUND(I112*H112,3)</f>
        <v>0</v>
      </c>
      <c r="BL112" s="128" t="s">
        <v>197</v>
      </c>
      <c r="BM112" s="128" t="s">
        <v>308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309</v>
      </c>
      <c r="F113" s="172" t="s">
        <v>310</v>
      </c>
      <c r="G113" s="173" t="s">
        <v>136</v>
      </c>
      <c r="H113" s="174">
        <v>164</v>
      </c>
      <c r="I113" s="174"/>
      <c r="J113" s="174">
        <f t="shared" si="0"/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2.8049999999999999E-2</v>
      </c>
      <c r="P113" s="177">
        <f t="shared" si="1"/>
        <v>4.6002000000000001</v>
      </c>
      <c r="Q113" s="177">
        <v>0</v>
      </c>
      <c r="R113" s="177">
        <f t="shared" si="2"/>
        <v>0</v>
      </c>
      <c r="S113" s="177">
        <v>0</v>
      </c>
      <c r="T113" s="178">
        <f t="shared" si="3"/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 t="shared" si="4"/>
        <v>0</v>
      </c>
      <c r="BF113" s="138">
        <f t="shared" si="5"/>
        <v>0</v>
      </c>
      <c r="BG113" s="138">
        <f t="shared" si="6"/>
        <v>0</v>
      </c>
      <c r="BH113" s="138">
        <f t="shared" si="7"/>
        <v>0</v>
      </c>
      <c r="BI113" s="138">
        <f t="shared" si="8"/>
        <v>0</v>
      </c>
      <c r="BJ113" s="128" t="s">
        <v>88</v>
      </c>
      <c r="BK113" s="166">
        <f t="shared" si="9"/>
        <v>0</v>
      </c>
      <c r="BL113" s="128" t="s">
        <v>197</v>
      </c>
      <c r="BM113" s="128" t="s">
        <v>311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312</v>
      </c>
      <c r="F114" s="189" t="s">
        <v>313</v>
      </c>
      <c r="G114" s="190" t="s">
        <v>136</v>
      </c>
      <c r="H114" s="191">
        <v>188.6</v>
      </c>
      <c r="I114" s="191"/>
      <c r="J114" s="191">
        <f t="shared" si="0"/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 t="shared" si="1"/>
        <v>0</v>
      </c>
      <c r="Q114" s="177">
        <v>4.0000000000000002E-4</v>
      </c>
      <c r="R114" s="177">
        <f t="shared" si="2"/>
        <v>7.5440000000000007E-2</v>
      </c>
      <c r="S114" s="177">
        <v>0</v>
      </c>
      <c r="T114" s="178">
        <f t="shared" si="3"/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 t="shared" si="4"/>
        <v>0</v>
      </c>
      <c r="BF114" s="138">
        <f t="shared" si="5"/>
        <v>0</v>
      </c>
      <c r="BG114" s="138">
        <f t="shared" si="6"/>
        <v>0</v>
      </c>
      <c r="BH114" s="138">
        <f t="shared" si="7"/>
        <v>0</v>
      </c>
      <c r="BI114" s="138">
        <f t="shared" si="8"/>
        <v>0</v>
      </c>
      <c r="BJ114" s="128" t="s">
        <v>88</v>
      </c>
      <c r="BK114" s="166">
        <f t="shared" si="9"/>
        <v>0</v>
      </c>
      <c r="BL114" s="128" t="s">
        <v>197</v>
      </c>
      <c r="BM114" s="128" t="s">
        <v>314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316</v>
      </c>
      <c r="F115" s="172" t="s">
        <v>317</v>
      </c>
      <c r="G115" s="173" t="s">
        <v>205</v>
      </c>
      <c r="H115" s="174">
        <v>23</v>
      </c>
      <c r="I115" s="174"/>
      <c r="J115" s="174">
        <f t="shared" si="0"/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0.24274000000000001</v>
      </c>
      <c r="P115" s="177">
        <f t="shared" si="1"/>
        <v>5.5830200000000003</v>
      </c>
      <c r="Q115" s="177">
        <v>2.7599999999999999E-3</v>
      </c>
      <c r="R115" s="177">
        <f t="shared" si="2"/>
        <v>6.3479999999999995E-2</v>
      </c>
      <c r="S115" s="177">
        <v>0</v>
      </c>
      <c r="T115" s="178">
        <f t="shared" si="3"/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 t="shared" si="4"/>
        <v>0</v>
      </c>
      <c r="BF115" s="138">
        <f t="shared" si="5"/>
        <v>0</v>
      </c>
      <c r="BG115" s="138">
        <f t="shared" si="6"/>
        <v>0</v>
      </c>
      <c r="BH115" s="138">
        <f t="shared" si="7"/>
        <v>0</v>
      </c>
      <c r="BI115" s="138">
        <f t="shared" si="8"/>
        <v>0</v>
      </c>
      <c r="BJ115" s="128" t="s">
        <v>88</v>
      </c>
      <c r="BK115" s="166">
        <f t="shared" si="9"/>
        <v>0</v>
      </c>
      <c r="BL115" s="128" t="s">
        <v>197</v>
      </c>
      <c r="BM115" s="128" t="s">
        <v>318</v>
      </c>
    </row>
    <row r="116" spans="2:65" s="26" customFormat="1" ht="16.5" customHeight="1" x14ac:dyDescent="0.25">
      <c r="B116" s="169"/>
      <c r="C116" s="187" t="s">
        <v>435</v>
      </c>
      <c r="D116" s="187" t="s">
        <v>261</v>
      </c>
      <c r="E116" s="188" t="s">
        <v>319</v>
      </c>
      <c r="F116" s="189" t="s">
        <v>320</v>
      </c>
      <c r="G116" s="190" t="s">
        <v>205</v>
      </c>
      <c r="H116" s="191">
        <v>23</v>
      </c>
      <c r="I116" s="191"/>
      <c r="J116" s="191">
        <f t="shared" si="0"/>
        <v>0</v>
      </c>
      <c r="K116" s="189" t="s">
        <v>9</v>
      </c>
      <c r="L116" s="199"/>
      <c r="M116" s="200" t="s">
        <v>9</v>
      </c>
      <c r="N116" s="201" t="s">
        <v>27</v>
      </c>
      <c r="O116" s="177">
        <v>0</v>
      </c>
      <c r="P116" s="177">
        <f t="shared" si="1"/>
        <v>0</v>
      </c>
      <c r="Q116" s="177">
        <v>8.4999999999999995E-4</v>
      </c>
      <c r="R116" s="177">
        <f t="shared" si="2"/>
        <v>1.9549999999999998E-2</v>
      </c>
      <c r="S116" s="177">
        <v>0</v>
      </c>
      <c r="T116" s="178">
        <f t="shared" si="3"/>
        <v>0</v>
      </c>
      <c r="AR116" s="128" t="s">
        <v>286</v>
      </c>
      <c r="AT116" s="128" t="s">
        <v>261</v>
      </c>
      <c r="AU116" s="128" t="s">
        <v>88</v>
      </c>
      <c r="AY116" s="128" t="s">
        <v>126</v>
      </c>
      <c r="BE116" s="138">
        <f t="shared" si="4"/>
        <v>0</v>
      </c>
      <c r="BF116" s="138">
        <f t="shared" si="5"/>
        <v>0</v>
      </c>
      <c r="BG116" s="138">
        <f t="shared" si="6"/>
        <v>0</v>
      </c>
      <c r="BH116" s="138">
        <f t="shared" si="7"/>
        <v>0</v>
      </c>
      <c r="BI116" s="138">
        <f t="shared" si="8"/>
        <v>0</v>
      </c>
      <c r="BJ116" s="128" t="s">
        <v>88</v>
      </c>
      <c r="BK116" s="166">
        <f t="shared" si="9"/>
        <v>0</v>
      </c>
      <c r="BL116" s="128" t="s">
        <v>197</v>
      </c>
      <c r="BM116" s="128" t="s">
        <v>321</v>
      </c>
    </row>
    <row r="117" spans="2:65" s="26" customFormat="1" ht="16.5" customHeight="1" x14ac:dyDescent="0.25">
      <c r="B117" s="169"/>
      <c r="C117" s="170" t="s">
        <v>436</v>
      </c>
      <c r="D117" s="170" t="s">
        <v>129</v>
      </c>
      <c r="E117" s="171" t="s">
        <v>322</v>
      </c>
      <c r="F117" s="172" t="s">
        <v>323</v>
      </c>
      <c r="G117" s="173" t="s">
        <v>324</v>
      </c>
      <c r="H117" s="174">
        <f>SUM(J102:J116)/100*1.3</f>
        <v>0</v>
      </c>
      <c r="I117" s="174"/>
      <c r="J117" s="174">
        <f t="shared" si="0"/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</v>
      </c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 t="shared" si="4"/>
        <v>0</v>
      </c>
      <c r="BF117" s="138">
        <f t="shared" si="5"/>
        <v>0</v>
      </c>
      <c r="BG117" s="138">
        <f t="shared" si="6"/>
        <v>0</v>
      </c>
      <c r="BH117" s="138">
        <f t="shared" si="7"/>
        <v>0</v>
      </c>
      <c r="BI117" s="138">
        <f t="shared" si="8"/>
        <v>0</v>
      </c>
      <c r="BJ117" s="128" t="s">
        <v>88</v>
      </c>
      <c r="BK117" s="166">
        <f t="shared" si="9"/>
        <v>0</v>
      </c>
      <c r="BL117" s="128" t="s">
        <v>197</v>
      </c>
      <c r="BM117" s="128" t="s">
        <v>325</v>
      </c>
    </row>
    <row r="118" spans="2:65" s="158" customFormat="1" ht="22.9" customHeight="1" x14ac:dyDescent="0.2">
      <c r="B118" s="157"/>
      <c r="D118" s="159" t="s">
        <v>123</v>
      </c>
      <c r="E118" s="167" t="s">
        <v>326</v>
      </c>
      <c r="F118" s="167" t="s">
        <v>327</v>
      </c>
      <c r="J118" s="168">
        <f>SUM(J119:J122)</f>
        <v>0</v>
      </c>
      <c r="L118" s="157"/>
      <c r="M118" s="162"/>
      <c r="P118" s="163">
        <f>SUM(P119:P122)</f>
        <v>398.65920000000006</v>
      </c>
      <c r="R118" s="163">
        <f>SUM(R119:R122)</f>
        <v>5.8178017500000001</v>
      </c>
      <c r="T118" s="164">
        <f>SUM(T119:T122)</f>
        <v>0</v>
      </c>
      <c r="AR118" s="159" t="s">
        <v>88</v>
      </c>
      <c r="AT118" s="165" t="s">
        <v>123</v>
      </c>
      <c r="AU118" s="165" t="s">
        <v>42</v>
      </c>
      <c r="AY118" s="159" t="s">
        <v>126</v>
      </c>
      <c r="BK118" s="166">
        <f>SUM(BK119:BK122)</f>
        <v>0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328</v>
      </c>
      <c r="F119" s="172" t="s">
        <v>329</v>
      </c>
      <c r="G119" s="173" t="s">
        <v>136</v>
      </c>
      <c r="H119" s="174">
        <f>786*1.05</f>
        <v>825.30000000000007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0.46400000000000002</v>
      </c>
      <c r="P119" s="177">
        <f>O119*H119</f>
        <v>382.93920000000003</v>
      </c>
      <c r="Q119" s="177">
        <v>4.0000000000000001E-3</v>
      </c>
      <c r="R119" s="177">
        <f>Q119*H119</f>
        <v>3.3012000000000001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330</v>
      </c>
    </row>
    <row r="120" spans="2:65" s="26" customFormat="1" ht="16.5" customHeight="1" x14ac:dyDescent="0.25">
      <c r="B120" s="169"/>
      <c r="C120" s="187" t="s">
        <v>437</v>
      </c>
      <c r="D120" s="187" t="s">
        <v>261</v>
      </c>
      <c r="E120" s="188" t="s">
        <v>331</v>
      </c>
      <c r="F120" s="189" t="s">
        <v>332</v>
      </c>
      <c r="G120" s="190" t="s">
        <v>136</v>
      </c>
      <c r="H120" s="191">
        <f>H119*1.15</f>
        <v>949.09500000000003</v>
      </c>
      <c r="I120" s="191"/>
      <c r="J120" s="191">
        <f>ROUND(I120*H120,3)</f>
        <v>0</v>
      </c>
      <c r="K120" s="189" t="s">
        <v>156</v>
      </c>
      <c r="L120" s="199"/>
      <c r="M120" s="200" t="s">
        <v>9</v>
      </c>
      <c r="N120" s="201" t="s">
        <v>27</v>
      </c>
      <c r="O120" s="177">
        <v>0</v>
      </c>
      <c r="P120" s="177">
        <f>O120*H120</f>
        <v>0</v>
      </c>
      <c r="Q120" s="177">
        <v>2.65E-3</v>
      </c>
      <c r="R120" s="177">
        <f>Q120*H120</f>
        <v>2.5151017499999999</v>
      </c>
      <c r="S120" s="177">
        <v>0</v>
      </c>
      <c r="T120" s="178">
        <f>S120*H120</f>
        <v>0</v>
      </c>
      <c r="AR120" s="128" t="s">
        <v>286</v>
      </c>
      <c r="AT120" s="128" t="s">
        <v>261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333</v>
      </c>
    </row>
    <row r="121" spans="2:65" s="26" customFormat="1" ht="16.5" customHeight="1" x14ac:dyDescent="0.25">
      <c r="B121" s="169"/>
      <c r="C121" s="170" t="s">
        <v>438</v>
      </c>
      <c r="D121" s="170" t="s">
        <v>129</v>
      </c>
      <c r="E121" s="171" t="s">
        <v>335</v>
      </c>
      <c r="F121" s="172" t="s">
        <v>336</v>
      </c>
      <c r="G121" s="173" t="s">
        <v>234</v>
      </c>
      <c r="H121" s="174">
        <v>30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0.52400000000000002</v>
      </c>
      <c r="P121" s="177">
        <f>O121*H121</f>
        <v>15.72</v>
      </c>
      <c r="Q121" s="177">
        <v>5.0000000000000002E-5</v>
      </c>
      <c r="R121" s="177">
        <f>Q121*H121</f>
        <v>1.5E-3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337</v>
      </c>
    </row>
    <row r="122" spans="2:65" s="26" customFormat="1" ht="16.5" customHeight="1" x14ac:dyDescent="0.25">
      <c r="B122" s="169"/>
      <c r="C122" s="170" t="s">
        <v>439</v>
      </c>
      <c r="D122" s="170" t="s">
        <v>129</v>
      </c>
      <c r="E122" s="171" t="s">
        <v>338</v>
      </c>
      <c r="F122" s="172" t="s">
        <v>339</v>
      </c>
      <c r="G122" s="173" t="s">
        <v>324</v>
      </c>
      <c r="H122" s="174">
        <f>SUM(J119:J121)/100*1.3</f>
        <v>0</v>
      </c>
      <c r="I122" s="174"/>
      <c r="J122" s="174">
        <f>ROUND(I122*H122,3)</f>
        <v>0</v>
      </c>
      <c r="K122" s="172" t="s">
        <v>156</v>
      </c>
      <c r="L122" s="132"/>
      <c r="M122" s="175" t="s">
        <v>9</v>
      </c>
      <c r="N122" s="176" t="s">
        <v>27</v>
      </c>
      <c r="O122" s="177">
        <v>0</v>
      </c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197</v>
      </c>
      <c r="BM122" s="128" t="s">
        <v>340</v>
      </c>
    </row>
    <row r="123" spans="2:65" s="158" customFormat="1" ht="22.9" customHeight="1" x14ac:dyDescent="0.2">
      <c r="B123" s="157"/>
      <c r="D123" s="159" t="s">
        <v>123</v>
      </c>
      <c r="E123" s="167" t="s">
        <v>223</v>
      </c>
      <c r="F123" s="167" t="s">
        <v>224</v>
      </c>
      <c r="J123" s="168">
        <f>SUM(J124:J135)</f>
        <v>0</v>
      </c>
      <c r="L123" s="157"/>
      <c r="M123" s="162"/>
      <c r="P123" s="163">
        <f>SUM(P124:P135)</f>
        <v>842.37665400000003</v>
      </c>
      <c r="R123" s="163">
        <f>SUM(R124:R135)</f>
        <v>3.790575</v>
      </c>
      <c r="T123" s="164">
        <f>SUM(T124:T135)</f>
        <v>0</v>
      </c>
      <c r="V123" s="193"/>
      <c r="AR123" s="159" t="s">
        <v>88</v>
      </c>
      <c r="AT123" s="165" t="s">
        <v>123</v>
      </c>
      <c r="AU123" s="165" t="s">
        <v>42</v>
      </c>
      <c r="AY123" s="159" t="s">
        <v>126</v>
      </c>
      <c r="BK123" s="166">
        <f>SUM(BK124:BK135)</f>
        <v>0</v>
      </c>
    </row>
    <row r="124" spans="2:65" s="26" customFormat="1" ht="16.5" customHeight="1" x14ac:dyDescent="0.25">
      <c r="B124" s="169"/>
      <c r="C124" s="170" t="s">
        <v>440</v>
      </c>
      <c r="D124" s="170" t="s">
        <v>129</v>
      </c>
      <c r="E124" s="171" t="s">
        <v>341</v>
      </c>
      <c r="F124" s="172" t="s">
        <v>342</v>
      </c>
      <c r="G124" s="173" t="s">
        <v>230</v>
      </c>
      <c r="H124" s="174">
        <f>206*1.1</f>
        <v>226.60000000000002</v>
      </c>
      <c r="I124" s="174"/>
      <c r="J124" s="174">
        <f>ROUND(I124*H124,3)</f>
        <v>0</v>
      </c>
      <c r="K124" s="172" t="s">
        <v>156</v>
      </c>
      <c r="L124" s="132"/>
      <c r="M124" s="175" t="s">
        <v>9</v>
      </c>
      <c r="N124" s="176" t="s">
        <v>27</v>
      </c>
      <c r="O124" s="177">
        <v>0.44508999999999999</v>
      </c>
      <c r="P124" s="177">
        <f>O124*H124</f>
        <v>100.85739400000001</v>
      </c>
      <c r="Q124" s="177">
        <v>2.0899999999999998E-3</v>
      </c>
      <c r="R124" s="177">
        <f>Q124*H124</f>
        <v>0.47359400000000001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343</v>
      </c>
    </row>
    <row r="125" spans="2:65" s="26" customFormat="1" ht="16.5" customHeight="1" x14ac:dyDescent="0.25">
      <c r="B125" s="169"/>
      <c r="C125" s="170" t="s">
        <v>441</v>
      </c>
      <c r="D125" s="170" t="s">
        <v>129</v>
      </c>
      <c r="E125" s="171" t="s">
        <v>344</v>
      </c>
      <c r="F125" s="172" t="s">
        <v>345</v>
      </c>
      <c r="G125" s="173" t="s">
        <v>205</v>
      </c>
      <c r="H125" s="174">
        <v>78</v>
      </c>
      <c r="I125" s="174"/>
      <c r="J125" s="174">
        <f>ROUND(I125*H125,3)</f>
        <v>0</v>
      </c>
      <c r="K125" s="172" t="s">
        <v>9</v>
      </c>
      <c r="L125" s="132"/>
      <c r="M125" s="175" t="s">
        <v>9</v>
      </c>
      <c r="N125" s="176" t="s">
        <v>27</v>
      </c>
      <c r="O125" s="177">
        <v>1.3879999999999999</v>
      </c>
      <c r="P125" s="177">
        <f>O125*H125</f>
        <v>108.264</v>
      </c>
      <c r="Q125" s="177">
        <v>8.0000000000000004E-4</v>
      </c>
      <c r="R125" s="177">
        <f>Q125*H125</f>
        <v>6.2400000000000004E-2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346</v>
      </c>
    </row>
    <row r="126" spans="2:65" s="26" customFormat="1" ht="16.5" customHeight="1" x14ac:dyDescent="0.25">
      <c r="B126" s="169"/>
      <c r="C126" s="170" t="s">
        <v>442</v>
      </c>
      <c r="D126" s="170" t="s">
        <v>129</v>
      </c>
      <c r="E126" s="171" t="s">
        <v>351</v>
      </c>
      <c r="F126" s="172" t="s">
        <v>352</v>
      </c>
      <c r="G126" s="173" t="s">
        <v>230</v>
      </c>
      <c r="H126" s="174">
        <f>H129</f>
        <v>239.8</v>
      </c>
      <c r="I126" s="174"/>
      <c r="J126" s="174">
        <f>ROUND(I126*H126,3)</f>
        <v>0</v>
      </c>
      <c r="K126" s="172" t="s">
        <v>156</v>
      </c>
      <c r="L126" s="132"/>
      <c r="M126" s="175" t="s">
        <v>9</v>
      </c>
      <c r="N126" s="176" t="s">
        <v>27</v>
      </c>
      <c r="O126" s="177">
        <v>0.83</v>
      </c>
      <c r="P126" s="177">
        <f>O126*H126</f>
        <v>199.03399999999999</v>
      </c>
      <c r="Q126" s="177">
        <v>4.2900000000000004E-3</v>
      </c>
      <c r="R126" s="177">
        <f>Q126*H126</f>
        <v>1.028742</v>
      </c>
      <c r="S126" s="177">
        <v>0</v>
      </c>
      <c r="T126" s="178">
        <f>S126*H126</f>
        <v>0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443</v>
      </c>
    </row>
    <row r="127" spans="2:65" s="26" customFormat="1" x14ac:dyDescent="0.25">
      <c r="B127" s="132"/>
      <c r="D127" s="179" t="s">
        <v>161</v>
      </c>
      <c r="E127" s="128" t="s">
        <v>9</v>
      </c>
      <c r="F127" s="143" t="s">
        <v>354</v>
      </c>
      <c r="H127" s="166">
        <f>45*1.1</f>
        <v>49.500000000000007</v>
      </c>
      <c r="L127" s="132"/>
      <c r="M127" s="180"/>
      <c r="T127" s="181"/>
      <c r="AT127" s="128" t="s">
        <v>161</v>
      </c>
      <c r="AU127" s="128" t="s">
        <v>88</v>
      </c>
      <c r="AV127" s="26" t="s">
        <v>88</v>
      </c>
      <c r="AW127" s="26" t="s">
        <v>163</v>
      </c>
      <c r="AX127" s="26" t="s">
        <v>39</v>
      </c>
      <c r="AY127" s="128" t="s">
        <v>126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355</v>
      </c>
      <c r="H128" s="166">
        <f>173*1.1</f>
        <v>190.3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218</v>
      </c>
      <c r="H129" s="166">
        <f>SUM(H127:H128)</f>
        <v>239.8</v>
      </c>
      <c r="L129" s="132"/>
      <c r="M129" s="180"/>
      <c r="T129" s="181"/>
      <c r="AT129" s="128" t="s">
        <v>161</v>
      </c>
      <c r="AU129" s="128" t="s">
        <v>88</v>
      </c>
      <c r="AV129" s="26" t="s">
        <v>132</v>
      </c>
      <c r="AW129" s="26" t="s">
        <v>163</v>
      </c>
      <c r="AX129" s="26" t="s">
        <v>42</v>
      </c>
      <c r="AY129" s="128" t="s">
        <v>126</v>
      </c>
    </row>
    <row r="130" spans="2:65" s="26" customFormat="1" ht="16.5" customHeight="1" x14ac:dyDescent="0.25">
      <c r="B130" s="169"/>
      <c r="C130" s="170" t="s">
        <v>444</v>
      </c>
      <c r="D130" s="170" t="s">
        <v>129</v>
      </c>
      <c r="E130" s="171" t="s">
        <v>356</v>
      </c>
      <c r="F130" s="172" t="s">
        <v>357</v>
      </c>
      <c r="G130" s="173" t="s">
        <v>230</v>
      </c>
      <c r="H130" s="174">
        <f>317*1.1</f>
        <v>348.70000000000005</v>
      </c>
      <c r="I130" s="174"/>
      <c r="J130" s="174">
        <f>ROUND(I130*H130,3)</f>
        <v>0</v>
      </c>
      <c r="K130" s="172" t="s">
        <v>156</v>
      </c>
      <c r="L130" s="132"/>
      <c r="M130" s="175" t="s">
        <v>9</v>
      </c>
      <c r="N130" s="176" t="s">
        <v>27</v>
      </c>
      <c r="O130" s="177">
        <v>1.161</v>
      </c>
      <c r="P130" s="177">
        <f>O130*H130</f>
        <v>404.84070000000008</v>
      </c>
      <c r="Q130" s="177">
        <v>6.3699999999999998E-3</v>
      </c>
      <c r="R130" s="177">
        <f>Q130*H130</f>
        <v>2.2212190000000001</v>
      </c>
      <c r="S130" s="177">
        <v>0</v>
      </c>
      <c r="T130" s="178">
        <f>S130*H130</f>
        <v>0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445</v>
      </c>
    </row>
    <row r="131" spans="2:65" s="26" customFormat="1" x14ac:dyDescent="0.25">
      <c r="B131" s="132"/>
      <c r="D131" s="179" t="s">
        <v>161</v>
      </c>
      <c r="E131" s="128" t="s">
        <v>9</v>
      </c>
      <c r="F131" s="143" t="s">
        <v>446</v>
      </c>
      <c r="H131" s="166"/>
      <c r="L131" s="132"/>
      <c r="M131" s="180"/>
      <c r="T131" s="181"/>
      <c r="AT131" s="128" t="s">
        <v>161</v>
      </c>
      <c r="AU131" s="128" t="s">
        <v>88</v>
      </c>
      <c r="AV131" s="26" t="s">
        <v>88</v>
      </c>
      <c r="AW131" s="26" t="s">
        <v>163</v>
      </c>
      <c r="AX131" s="26" t="s">
        <v>42</v>
      </c>
      <c r="AY131" s="128" t="s">
        <v>126</v>
      </c>
    </row>
    <row r="132" spans="2:65" s="26" customFormat="1" ht="16.5" customHeight="1" x14ac:dyDescent="0.25">
      <c r="B132" s="169"/>
      <c r="C132" s="170" t="s">
        <v>447</v>
      </c>
      <c r="D132" s="170" t="s">
        <v>129</v>
      </c>
      <c r="E132" s="171" t="s">
        <v>362</v>
      </c>
      <c r="F132" s="172" t="s">
        <v>363</v>
      </c>
      <c r="G132" s="173" t="s">
        <v>230</v>
      </c>
      <c r="H132" s="174">
        <f>30*1.1</f>
        <v>33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0.89032</v>
      </c>
      <c r="P132" s="177">
        <f>O132*H132</f>
        <v>29.380559999999999</v>
      </c>
      <c r="Q132" s="177">
        <v>1.3999999999999999E-4</v>
      </c>
      <c r="R132" s="177">
        <f>Q132*H132</f>
        <v>4.62E-3</v>
      </c>
      <c r="S132" s="177">
        <v>0</v>
      </c>
      <c r="T132" s="178">
        <f>S132*H132</f>
        <v>0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364</v>
      </c>
    </row>
    <row r="133" spans="2:65" s="26" customFormat="1" ht="16.5" customHeight="1" x14ac:dyDescent="0.25">
      <c r="B133" s="169"/>
      <c r="C133" s="170" t="s">
        <v>448</v>
      </c>
      <c r="D133" s="170" t="s">
        <v>129</v>
      </c>
      <c r="E133" s="171" t="s">
        <v>365</v>
      </c>
      <c r="F133" s="172" t="s">
        <v>366</v>
      </c>
      <c r="G133" s="173" t="s">
        <v>234</v>
      </c>
      <c r="H133" s="174">
        <f>H124</f>
        <v>226.60000000000002</v>
      </c>
      <c r="I133" s="174"/>
      <c r="J133" s="174">
        <f>ROUND(I133*H133,3)</f>
        <v>0</v>
      </c>
      <c r="K133" s="172" t="s">
        <v>9</v>
      </c>
      <c r="L133" s="132"/>
      <c r="M133" s="175" t="s">
        <v>9</v>
      </c>
      <c r="N133" s="176" t="s">
        <v>27</v>
      </c>
      <c r="O133" s="177">
        <v>0</v>
      </c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367</v>
      </c>
    </row>
    <row r="134" spans="2:65" s="26" customFormat="1" ht="16.5" customHeight="1" x14ac:dyDescent="0.25">
      <c r="B134" s="169"/>
      <c r="C134" s="170" t="s">
        <v>449</v>
      </c>
      <c r="D134" s="170" t="s">
        <v>129</v>
      </c>
      <c r="E134" s="171" t="s">
        <v>360</v>
      </c>
      <c r="F134" s="172" t="s">
        <v>361</v>
      </c>
      <c r="G134" s="173" t="s">
        <v>230</v>
      </c>
      <c r="H134" s="174">
        <v>235</v>
      </c>
      <c r="I134" s="174"/>
      <c r="J134" s="174">
        <f>I134*H134</f>
        <v>0</v>
      </c>
      <c r="K134" s="172"/>
      <c r="AF134" s="128"/>
      <c r="AH134" s="128"/>
      <c r="AI134" s="128"/>
      <c r="AM134" s="128"/>
      <c r="AS134" s="138"/>
      <c r="AT134" s="138"/>
      <c r="AU134" s="138"/>
      <c r="AV134" s="138"/>
      <c r="AW134" s="138"/>
      <c r="AX134" s="128"/>
      <c r="AY134" s="166"/>
      <c r="AZ134" s="128"/>
      <c r="BA134" s="128"/>
    </row>
    <row r="135" spans="2:65" s="26" customFormat="1" ht="16.5" customHeight="1" x14ac:dyDescent="0.25">
      <c r="B135" s="169"/>
      <c r="C135" s="170" t="s">
        <v>450</v>
      </c>
      <c r="D135" s="170" t="s">
        <v>129</v>
      </c>
      <c r="E135" s="171" t="s">
        <v>368</v>
      </c>
      <c r="F135" s="172" t="s">
        <v>369</v>
      </c>
      <c r="G135" s="173" t="s">
        <v>324</v>
      </c>
      <c r="H135" s="174">
        <f>SUM(J124:J133)/100*1.3</f>
        <v>0</v>
      </c>
      <c r="I135" s="174"/>
      <c r="J135" s="174">
        <f>ROUND(I135*H135,3)</f>
        <v>0</v>
      </c>
      <c r="K135" s="172" t="s">
        <v>156</v>
      </c>
      <c r="L135" s="132"/>
      <c r="M135" s="175" t="s">
        <v>9</v>
      </c>
      <c r="N135" s="176" t="s">
        <v>27</v>
      </c>
      <c r="O135" s="177">
        <v>0</v>
      </c>
      <c r="P135" s="177">
        <f>O135*H135</f>
        <v>0</v>
      </c>
      <c r="Q135" s="177">
        <v>0</v>
      </c>
      <c r="R135" s="177">
        <f>Q135*H135</f>
        <v>0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370</v>
      </c>
    </row>
    <row r="136" spans="2:65" s="158" customFormat="1" ht="22.9" customHeight="1" x14ac:dyDescent="0.2">
      <c r="B136" s="157"/>
      <c r="D136" s="159" t="s">
        <v>123</v>
      </c>
      <c r="E136" s="167" t="s">
        <v>242</v>
      </c>
      <c r="F136" s="167" t="s">
        <v>243</v>
      </c>
      <c r="J136" s="168">
        <f>SUM(J137:J138)</f>
        <v>0</v>
      </c>
      <c r="L136" s="157"/>
      <c r="M136" s="162"/>
      <c r="P136" s="163">
        <f>SUM(P137:P138)</f>
        <v>1.1000000000000001</v>
      </c>
      <c r="R136" s="163">
        <f>SUM(R137:R138)</f>
        <v>1.8000000000000001E-4</v>
      </c>
      <c r="T136" s="164">
        <f>SUM(T137:T138)</f>
        <v>0</v>
      </c>
      <c r="AR136" s="159" t="s">
        <v>88</v>
      </c>
      <c r="AT136" s="165" t="s">
        <v>123</v>
      </c>
      <c r="AU136" s="165" t="s">
        <v>42</v>
      </c>
      <c r="AY136" s="159" t="s">
        <v>126</v>
      </c>
      <c r="BK136" s="166">
        <f>SUM(BK137:BK138)</f>
        <v>0</v>
      </c>
    </row>
    <row r="137" spans="2:65" s="26" customFormat="1" ht="16.5" customHeight="1" x14ac:dyDescent="0.25">
      <c r="B137" s="169"/>
      <c r="C137" s="170" t="s">
        <v>451</v>
      </c>
      <c r="D137" s="170" t="s">
        <v>129</v>
      </c>
      <c r="E137" s="171" t="s">
        <v>371</v>
      </c>
      <c r="F137" s="172" t="s">
        <v>372</v>
      </c>
      <c r="G137" s="173" t="s">
        <v>205</v>
      </c>
      <c r="H137" s="174">
        <v>2</v>
      </c>
      <c r="I137" s="174"/>
      <c r="J137" s="174">
        <f>ROUND(I137*H137,3)</f>
        <v>0</v>
      </c>
      <c r="K137" s="172" t="s">
        <v>9</v>
      </c>
      <c r="L137" s="132"/>
      <c r="M137" s="175" t="s">
        <v>9</v>
      </c>
      <c r="N137" s="176" t="s">
        <v>27</v>
      </c>
      <c r="O137" s="177">
        <v>0.55000000000000004</v>
      </c>
      <c r="P137" s="177">
        <f>O137*H137</f>
        <v>1.1000000000000001</v>
      </c>
      <c r="Q137" s="177">
        <v>9.0000000000000006E-5</v>
      </c>
      <c r="R137" s="177">
        <f>Q137*H137</f>
        <v>1.8000000000000001E-4</v>
      </c>
      <c r="S137" s="177">
        <v>0</v>
      </c>
      <c r="T137" s="178">
        <f>S137*H137</f>
        <v>0</v>
      </c>
      <c r="AR137" s="128" t="s">
        <v>197</v>
      </c>
      <c r="AT137" s="128" t="s">
        <v>129</v>
      </c>
      <c r="AU137" s="128" t="s">
        <v>88</v>
      </c>
      <c r="AY137" s="128" t="s">
        <v>126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28" t="s">
        <v>88</v>
      </c>
      <c r="BK137" s="166">
        <f>ROUND(I137*H137,3)</f>
        <v>0</v>
      </c>
      <c r="BL137" s="128" t="s">
        <v>197</v>
      </c>
      <c r="BM137" s="128" t="s">
        <v>373</v>
      </c>
    </row>
    <row r="138" spans="2:65" s="26" customFormat="1" ht="16.5" customHeight="1" x14ac:dyDescent="0.25">
      <c r="B138" s="169"/>
      <c r="C138" s="170" t="s">
        <v>286</v>
      </c>
      <c r="D138" s="170" t="s">
        <v>129</v>
      </c>
      <c r="E138" s="171" t="s">
        <v>374</v>
      </c>
      <c r="F138" s="172" t="s">
        <v>375</v>
      </c>
      <c r="G138" s="173" t="s">
        <v>324</v>
      </c>
      <c r="H138" s="174">
        <v>2.016</v>
      </c>
      <c r="I138" s="174"/>
      <c r="J138" s="174">
        <f>ROUND(I138*H138,3)</f>
        <v>0</v>
      </c>
      <c r="K138" s="172" t="s">
        <v>156</v>
      </c>
      <c r="L138" s="132"/>
      <c r="M138" s="175" t="s">
        <v>9</v>
      </c>
      <c r="N138" s="176" t="s">
        <v>27</v>
      </c>
      <c r="O138" s="177">
        <v>0</v>
      </c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376</v>
      </c>
    </row>
    <row r="139" spans="2:65" s="158" customFormat="1" ht="22.9" customHeight="1" x14ac:dyDescent="0.2">
      <c r="B139" s="157"/>
      <c r="D139" s="159"/>
      <c r="E139" s="167" t="s">
        <v>377</v>
      </c>
      <c r="F139" s="167" t="s">
        <v>378</v>
      </c>
      <c r="J139" s="168">
        <f>SUM(J140:J143)</f>
        <v>0</v>
      </c>
      <c r="L139" s="157"/>
      <c r="M139" s="162"/>
      <c r="P139" s="163"/>
      <c r="R139" s="163"/>
      <c r="T139" s="164"/>
      <c r="AR139" s="159"/>
      <c r="AT139" s="165"/>
      <c r="AU139" s="165"/>
      <c r="AY139" s="159"/>
      <c r="BK139" s="166"/>
    </row>
    <row r="140" spans="2:65" s="26" customFormat="1" ht="16.5" customHeight="1" x14ac:dyDescent="0.25">
      <c r="B140" s="169"/>
      <c r="C140" s="170" t="s">
        <v>452</v>
      </c>
      <c r="D140" s="170" t="s">
        <v>129</v>
      </c>
      <c r="E140" s="171" t="s">
        <v>379</v>
      </c>
      <c r="F140" s="172" t="s">
        <v>380</v>
      </c>
      <c r="G140" s="173" t="s">
        <v>136</v>
      </c>
      <c r="H140" s="174">
        <v>52</v>
      </c>
      <c r="I140" s="174"/>
      <c r="J140" s="174">
        <f>ROUND(I140*H140,3)</f>
        <v>0</v>
      </c>
      <c r="K140" s="172" t="s">
        <v>156</v>
      </c>
      <c r="L140" s="132"/>
      <c r="M140" s="175" t="s">
        <v>9</v>
      </c>
      <c r="N140" s="176" t="s">
        <v>27</v>
      </c>
      <c r="O140" s="177">
        <v>0</v>
      </c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AR140" s="128" t="s">
        <v>197</v>
      </c>
      <c r="AT140" s="128" t="s">
        <v>129</v>
      </c>
      <c r="AU140" s="128" t="s">
        <v>88</v>
      </c>
      <c r="AY140" s="128" t="s">
        <v>126</v>
      </c>
      <c r="BE140" s="138">
        <f>IF(N140="základná",J140,0)</f>
        <v>0</v>
      </c>
      <c r="BF140" s="138">
        <f>IF(N140="znížená",J140,0)</f>
        <v>0</v>
      </c>
      <c r="BG140" s="138">
        <f>IF(N140="zákl. prenesená",J140,0)</f>
        <v>0</v>
      </c>
      <c r="BH140" s="138">
        <f>IF(N140="zníž. prenesená",J140,0)</f>
        <v>0</v>
      </c>
      <c r="BI140" s="138">
        <f>IF(N140="nulová",J140,0)</f>
        <v>0</v>
      </c>
      <c r="BJ140" s="128" t="s">
        <v>88</v>
      </c>
      <c r="BK140" s="166">
        <f>ROUND(I140*H140,3)</f>
        <v>0</v>
      </c>
      <c r="BL140" s="128" t="s">
        <v>197</v>
      </c>
      <c r="BM140" s="128" t="s">
        <v>376</v>
      </c>
    </row>
    <row r="141" spans="2:65" s="26" customFormat="1" ht="16.5" customHeight="1" x14ac:dyDescent="0.25">
      <c r="B141" s="169"/>
      <c r="C141" s="170"/>
      <c r="D141" s="170"/>
      <c r="E141" s="171"/>
      <c r="F141" s="172" t="s">
        <v>453</v>
      </c>
      <c r="G141" s="173"/>
      <c r="H141" s="174"/>
      <c r="I141" s="174"/>
      <c r="J141" s="174"/>
      <c r="K141" s="172"/>
      <c r="L141" s="132"/>
      <c r="M141" s="175"/>
      <c r="N141" s="176"/>
      <c r="O141" s="177"/>
      <c r="P141" s="177"/>
      <c r="Q141" s="177"/>
      <c r="R141" s="177"/>
      <c r="S141" s="177"/>
      <c r="T141" s="178"/>
      <c r="AR141" s="128"/>
      <c r="AT141" s="128"/>
      <c r="AU141" s="128"/>
      <c r="AY141" s="128"/>
      <c r="BE141" s="138"/>
      <c r="BF141" s="138"/>
      <c r="BG141" s="138"/>
      <c r="BH141" s="138"/>
      <c r="BI141" s="138"/>
      <c r="BJ141" s="128"/>
      <c r="BK141" s="166"/>
      <c r="BL141" s="128"/>
      <c r="BM141" s="128"/>
    </row>
    <row r="142" spans="2:65" s="26" customFormat="1" ht="16.5" customHeight="1" x14ac:dyDescent="0.25">
      <c r="B142" s="169"/>
      <c r="C142" s="170"/>
      <c r="D142" s="170"/>
      <c r="E142" s="171"/>
      <c r="F142" s="172" t="s">
        <v>454</v>
      </c>
      <c r="G142" s="173"/>
      <c r="H142" s="174"/>
      <c r="I142" s="174"/>
      <c r="J142" s="174"/>
      <c r="K142" s="172"/>
      <c r="L142" s="132"/>
      <c r="M142" s="175"/>
      <c r="N142" s="176"/>
      <c r="O142" s="177"/>
      <c r="P142" s="177"/>
      <c r="Q142" s="177"/>
      <c r="R142" s="177"/>
      <c r="S142" s="177"/>
      <c r="T142" s="178"/>
      <c r="AR142" s="128"/>
      <c r="AT142" s="128"/>
      <c r="AU142" s="128"/>
      <c r="AY142" s="128"/>
      <c r="BE142" s="138"/>
      <c r="BF142" s="138"/>
      <c r="BG142" s="138"/>
      <c r="BH142" s="138"/>
      <c r="BI142" s="138"/>
      <c r="BJ142" s="128"/>
      <c r="BK142" s="166"/>
      <c r="BL142" s="128"/>
      <c r="BM142" s="128"/>
    </row>
    <row r="143" spans="2:65" s="26" customFormat="1" ht="16.5" customHeight="1" x14ac:dyDescent="0.25">
      <c r="B143" s="169"/>
      <c r="C143" s="170">
        <v>34</v>
      </c>
      <c r="D143" s="170"/>
      <c r="E143" s="171" t="s">
        <v>381</v>
      </c>
      <c r="F143" s="172" t="s">
        <v>382</v>
      </c>
      <c r="G143" s="173" t="s">
        <v>136</v>
      </c>
      <c r="H143" s="174">
        <f>H140</f>
        <v>52</v>
      </c>
      <c r="I143" s="174"/>
      <c r="J143" s="174">
        <f>ROUND(I143*H143,3)</f>
        <v>0</v>
      </c>
      <c r="K143" s="172"/>
      <c r="L143" s="132"/>
      <c r="M143" s="175"/>
      <c r="N143" s="176"/>
      <c r="O143" s="177"/>
      <c r="P143" s="177"/>
      <c r="Q143" s="177"/>
      <c r="R143" s="177"/>
      <c r="S143" s="177"/>
      <c r="T143" s="178"/>
      <c r="AR143" s="128"/>
      <c r="AT143" s="128"/>
      <c r="AU143" s="128"/>
      <c r="AY143" s="128"/>
      <c r="BE143" s="138"/>
      <c r="BF143" s="138"/>
      <c r="BG143" s="138"/>
      <c r="BH143" s="138"/>
      <c r="BI143" s="138"/>
      <c r="BJ143" s="128"/>
      <c r="BK143" s="166"/>
      <c r="BL143" s="128"/>
      <c r="BM143" s="128"/>
    </row>
    <row r="144" spans="2:65" s="158" customFormat="1" ht="25.9" customHeight="1" x14ac:dyDescent="0.2">
      <c r="B144" s="157"/>
      <c r="D144" s="159" t="s">
        <v>123</v>
      </c>
      <c r="E144" s="160" t="s">
        <v>261</v>
      </c>
      <c r="F144" s="160" t="s">
        <v>383</v>
      </c>
      <c r="J144" s="161">
        <f>J145</f>
        <v>0</v>
      </c>
      <c r="L144" s="157"/>
      <c r="M144" s="162"/>
      <c r="P144" s="163">
        <f>P145</f>
        <v>0.15</v>
      </c>
      <c r="R144" s="163">
        <f>R145</f>
        <v>0</v>
      </c>
      <c r="T144" s="164">
        <f>T145</f>
        <v>0</v>
      </c>
      <c r="AR144" s="159" t="s">
        <v>140</v>
      </c>
      <c r="AT144" s="165" t="s">
        <v>123</v>
      </c>
      <c r="AU144" s="165" t="s">
        <v>39</v>
      </c>
      <c r="AY144" s="159" t="s">
        <v>126</v>
      </c>
      <c r="BK144" s="166">
        <f>BK145</f>
        <v>0</v>
      </c>
    </row>
    <row r="145" spans="2:65" s="158" customFormat="1" ht="22.9" customHeight="1" x14ac:dyDescent="0.2">
      <c r="B145" s="157"/>
      <c r="D145" s="159" t="s">
        <v>123</v>
      </c>
      <c r="E145" s="167" t="s">
        <v>384</v>
      </c>
      <c r="F145" s="167" t="s">
        <v>385</v>
      </c>
      <c r="J145" s="168">
        <f>SUM(J146)</f>
        <v>0</v>
      </c>
      <c r="L145" s="157"/>
      <c r="M145" s="162"/>
      <c r="P145" s="163">
        <f>P146</f>
        <v>0.15</v>
      </c>
      <c r="R145" s="163">
        <f>R146</f>
        <v>0</v>
      </c>
      <c r="T145" s="164">
        <f>T146</f>
        <v>0</v>
      </c>
      <c r="AR145" s="159" t="s">
        <v>140</v>
      </c>
      <c r="AT145" s="165" t="s">
        <v>123</v>
      </c>
      <c r="AU145" s="165" t="s">
        <v>42</v>
      </c>
      <c r="AY145" s="159" t="s">
        <v>126</v>
      </c>
      <c r="BK145" s="166">
        <f>BK146</f>
        <v>0</v>
      </c>
    </row>
    <row r="146" spans="2:65" s="26" customFormat="1" ht="16.5" customHeight="1" x14ac:dyDescent="0.25">
      <c r="B146" s="169"/>
      <c r="C146" s="170">
        <v>35</v>
      </c>
      <c r="D146" s="170" t="s">
        <v>129</v>
      </c>
      <c r="E146" s="171" t="s">
        <v>386</v>
      </c>
      <c r="F146" s="172" t="s">
        <v>387</v>
      </c>
      <c r="G146" s="173" t="s">
        <v>153</v>
      </c>
      <c r="H146" s="174">
        <v>1</v>
      </c>
      <c r="I146" s="174"/>
      <c r="J146" s="174">
        <f>ROUND(I146*H146,3)</f>
        <v>0</v>
      </c>
      <c r="K146" s="172" t="s">
        <v>9</v>
      </c>
      <c r="L146" s="132"/>
      <c r="M146" s="183" t="s">
        <v>9</v>
      </c>
      <c r="N146" s="184" t="s">
        <v>27</v>
      </c>
      <c r="O146" s="185">
        <v>0.15</v>
      </c>
      <c r="P146" s="185">
        <f>O146*H146</f>
        <v>0.15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AR146" s="128" t="s">
        <v>388</v>
      </c>
      <c r="AT146" s="128" t="s">
        <v>129</v>
      </c>
      <c r="AU146" s="128" t="s">
        <v>88</v>
      </c>
      <c r="AY146" s="128" t="s">
        <v>126</v>
      </c>
      <c r="BE146" s="138">
        <f>IF(N146="základná",J146,0)</f>
        <v>0</v>
      </c>
      <c r="BF146" s="138">
        <f>IF(N146="znížená",J146,0)</f>
        <v>0</v>
      </c>
      <c r="BG146" s="138">
        <f>IF(N146="zákl. prenesená",J146,0)</f>
        <v>0</v>
      </c>
      <c r="BH146" s="138">
        <f>IF(N146="zníž. prenesená",J146,0)</f>
        <v>0</v>
      </c>
      <c r="BI146" s="138">
        <f>IF(N146="nulová",J146,0)</f>
        <v>0</v>
      </c>
      <c r="BJ146" s="128" t="s">
        <v>88</v>
      </c>
      <c r="BK146" s="166">
        <f>ROUND(I146*H146,3)</f>
        <v>0</v>
      </c>
      <c r="BL146" s="128" t="s">
        <v>388</v>
      </c>
      <c r="BM146" s="128" t="s">
        <v>389</v>
      </c>
    </row>
    <row r="147" spans="2:65" s="26" customFormat="1" ht="16.5" customHeight="1" x14ac:dyDescent="0.25">
      <c r="B147" s="169"/>
      <c r="C147" s="194"/>
      <c r="D147" s="194"/>
      <c r="E147" s="195"/>
      <c r="F147" s="196"/>
      <c r="G147" s="197"/>
      <c r="H147" s="198"/>
      <c r="I147" s="198"/>
      <c r="J147" s="198"/>
      <c r="K147" s="196"/>
      <c r="L147" s="132"/>
      <c r="M147" s="128"/>
      <c r="N147" s="176"/>
      <c r="O147" s="177"/>
      <c r="P147" s="177"/>
      <c r="Q147" s="177"/>
      <c r="R147" s="177"/>
      <c r="S147" s="177"/>
      <c r="T147" s="177"/>
      <c r="AR147" s="128"/>
      <c r="AT147" s="128"/>
      <c r="AU147" s="128"/>
      <c r="AY147" s="128"/>
      <c r="BE147" s="138"/>
      <c r="BF147" s="138"/>
      <c r="BG147" s="138"/>
      <c r="BH147" s="138"/>
      <c r="BI147" s="138"/>
      <c r="BJ147" s="128"/>
      <c r="BK147" s="166"/>
      <c r="BL147" s="128"/>
      <c r="BM147" s="128"/>
    </row>
    <row r="148" spans="2:65" s="158" customFormat="1" ht="25.9" customHeight="1" x14ac:dyDescent="0.2">
      <c r="B148" s="157"/>
      <c r="D148" s="159"/>
      <c r="E148" s="160"/>
      <c r="F148" s="160" t="s">
        <v>390</v>
      </c>
      <c r="J148" s="161">
        <f>J149</f>
        <v>0</v>
      </c>
      <c r="L148" s="157"/>
      <c r="M148" s="162"/>
      <c r="P148" s="163">
        <f>P149</f>
        <v>0.66</v>
      </c>
      <c r="R148" s="163">
        <f>R149</f>
        <v>0</v>
      </c>
      <c r="T148" s="164">
        <f>T149</f>
        <v>0</v>
      </c>
      <c r="AR148" s="159" t="s">
        <v>140</v>
      </c>
      <c r="AT148" s="165" t="s">
        <v>123</v>
      </c>
      <c r="AU148" s="165" t="s">
        <v>39</v>
      </c>
      <c r="AY148" s="159" t="s">
        <v>126</v>
      </c>
      <c r="BK148" s="166">
        <f>BK149</f>
        <v>0</v>
      </c>
    </row>
    <row r="149" spans="2:65" s="158" customFormat="1" ht="22.9" customHeight="1" x14ac:dyDescent="0.2">
      <c r="B149" s="157"/>
      <c r="D149" s="159" t="s">
        <v>391</v>
      </c>
      <c r="E149" s="167">
        <v>0</v>
      </c>
      <c r="F149" s="167" t="s">
        <v>392</v>
      </c>
      <c r="J149" s="168">
        <f>SUM(J150:J153)</f>
        <v>0</v>
      </c>
      <c r="L149" s="157"/>
      <c r="M149" s="162"/>
      <c r="P149" s="163">
        <f>P150</f>
        <v>0.66</v>
      </c>
      <c r="R149" s="163">
        <f>R150</f>
        <v>0</v>
      </c>
      <c r="T149" s="164">
        <f>T150</f>
        <v>0</v>
      </c>
      <c r="AR149" s="159" t="s">
        <v>140</v>
      </c>
      <c r="AT149" s="165" t="s">
        <v>123</v>
      </c>
      <c r="AU149" s="165" t="s">
        <v>42</v>
      </c>
      <c r="AY149" s="159" t="s">
        <v>126</v>
      </c>
      <c r="BK149" s="166">
        <f>BK150</f>
        <v>0</v>
      </c>
    </row>
    <row r="150" spans="2:65" s="26" customFormat="1" ht="16.5" customHeight="1" x14ac:dyDescent="0.25">
      <c r="B150" s="169"/>
      <c r="C150" s="170">
        <v>36</v>
      </c>
      <c r="D150" s="170" t="s">
        <v>129</v>
      </c>
      <c r="E150" s="171" t="s">
        <v>393</v>
      </c>
      <c r="F150" s="172" t="s">
        <v>394</v>
      </c>
      <c r="G150" s="173" t="s">
        <v>324</v>
      </c>
      <c r="H150" s="174">
        <f>'[1]A montáž - skúška 1.1'!H155</f>
        <v>4.4000000000000004</v>
      </c>
      <c r="I150" s="174"/>
      <c r="J150" s="174">
        <f>ROUND(I150*H150,3)</f>
        <v>0</v>
      </c>
      <c r="K150" s="172" t="s">
        <v>9</v>
      </c>
      <c r="L150" s="132"/>
      <c r="M150" s="183" t="s">
        <v>9</v>
      </c>
      <c r="N150" s="184" t="s">
        <v>27</v>
      </c>
      <c r="O150" s="185">
        <v>0.15</v>
      </c>
      <c r="P150" s="185">
        <f>O150*H150</f>
        <v>0.66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AR150" s="128" t="s">
        <v>388</v>
      </c>
      <c r="AT150" s="128" t="s">
        <v>129</v>
      </c>
      <c r="AU150" s="128" t="s">
        <v>88</v>
      </c>
      <c r="AY150" s="128" t="s">
        <v>126</v>
      </c>
      <c r="BE150" s="138">
        <f>IF(N150="základná",J150,0)</f>
        <v>0</v>
      </c>
      <c r="BF150" s="138">
        <f>IF(N150="znížená",J150,0)</f>
        <v>0</v>
      </c>
      <c r="BG150" s="138">
        <f>IF(N150="zákl. prenesená",J150,0)</f>
        <v>0</v>
      </c>
      <c r="BH150" s="138">
        <f>IF(N150="zníž. prenesená",J150,0)</f>
        <v>0</v>
      </c>
      <c r="BI150" s="138">
        <f>IF(N150="nulová",J150,0)</f>
        <v>0</v>
      </c>
      <c r="BJ150" s="128" t="s">
        <v>88</v>
      </c>
      <c r="BK150" s="166">
        <f>ROUND(I150*H150,3)</f>
        <v>0</v>
      </c>
      <c r="BL150" s="128" t="s">
        <v>388</v>
      </c>
      <c r="BM150" s="128" t="s">
        <v>389</v>
      </c>
    </row>
    <row r="151" spans="2:65" s="26" customFormat="1" ht="16.5" customHeight="1" x14ac:dyDescent="0.25">
      <c r="B151" s="169"/>
      <c r="C151" s="170">
        <v>37</v>
      </c>
      <c r="D151" s="170" t="s">
        <v>129</v>
      </c>
      <c r="E151" s="171" t="s">
        <v>395</v>
      </c>
      <c r="F151" s="172" t="s">
        <v>396</v>
      </c>
      <c r="G151" s="173" t="s">
        <v>324</v>
      </c>
      <c r="H151" s="174">
        <f>'[1]A montáž - skúška 1.1'!H156</f>
        <v>1</v>
      </c>
      <c r="I151" s="174"/>
      <c r="J151" s="174">
        <f>ROUND(I151*H151,3)</f>
        <v>0</v>
      </c>
      <c r="K151" s="172" t="s">
        <v>9</v>
      </c>
      <c r="L151" s="132"/>
      <c r="M151" s="183" t="s">
        <v>9</v>
      </c>
      <c r="N151" s="184" t="s">
        <v>27</v>
      </c>
      <c r="O151" s="185">
        <v>0.15</v>
      </c>
      <c r="P151" s="185">
        <f>O151*H151</f>
        <v>0.15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28" t="s">
        <v>388</v>
      </c>
      <c r="AT151" s="128" t="s">
        <v>129</v>
      </c>
      <c r="AU151" s="128" t="s">
        <v>88</v>
      </c>
      <c r="AY151" s="128" t="s">
        <v>126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28" t="s">
        <v>88</v>
      </c>
      <c r="BK151" s="166">
        <f>ROUND(I151*H151,3)</f>
        <v>0</v>
      </c>
      <c r="BL151" s="128" t="s">
        <v>388</v>
      </c>
      <c r="BM151" s="128" t="s">
        <v>389</v>
      </c>
    </row>
    <row r="152" spans="2:65" s="26" customFormat="1" ht="16.5" customHeight="1" x14ac:dyDescent="0.25">
      <c r="B152" s="169"/>
      <c r="C152" s="170">
        <v>38</v>
      </c>
      <c r="D152" s="170" t="s">
        <v>129</v>
      </c>
      <c r="E152" s="171" t="s">
        <v>397</v>
      </c>
      <c r="F152" s="172" t="s">
        <v>398</v>
      </c>
      <c r="G152" s="173" t="s">
        <v>399</v>
      </c>
      <c r="H152" s="174">
        <f>H102*0.15</f>
        <v>442.35899999999998</v>
      </c>
      <c r="I152" s="174"/>
      <c r="J152" s="174">
        <f>ROUND(I152*H152,3)</f>
        <v>0</v>
      </c>
      <c r="K152" s="172"/>
      <c r="L152" s="132"/>
      <c r="M152" s="183"/>
      <c r="N152" s="184"/>
      <c r="O152" s="185"/>
      <c r="P152" s="185"/>
      <c r="Q152" s="185"/>
      <c r="R152" s="185"/>
      <c r="S152" s="185"/>
      <c r="T152" s="186"/>
      <c r="AR152" s="128"/>
      <c r="AT152" s="128"/>
      <c r="AU152" s="128"/>
      <c r="AY152" s="128"/>
      <c r="BE152" s="138"/>
      <c r="BF152" s="138"/>
      <c r="BG152" s="138"/>
      <c r="BH152" s="138"/>
      <c r="BI152" s="138"/>
      <c r="BJ152" s="128"/>
      <c r="BK152" s="166"/>
      <c r="BL152" s="128"/>
      <c r="BM152" s="128"/>
    </row>
    <row r="153" spans="2:65" s="26" customFormat="1" ht="16.5" customHeight="1" x14ac:dyDescent="0.25">
      <c r="B153" s="169"/>
      <c r="C153" s="170">
        <v>39</v>
      </c>
      <c r="D153" s="170" t="s">
        <v>129</v>
      </c>
      <c r="E153" s="171" t="s">
        <v>397</v>
      </c>
      <c r="F153" s="172" t="s">
        <v>401</v>
      </c>
      <c r="G153" s="173" t="s">
        <v>324</v>
      </c>
      <c r="H153" s="174">
        <f>'[1]A montáž - skúška 1.1'!H158</f>
        <v>12.1</v>
      </c>
      <c r="I153" s="174"/>
      <c r="J153" s="174">
        <f>ROUND(I153*H153,3)</f>
        <v>0</v>
      </c>
      <c r="K153" s="172" t="s">
        <v>9</v>
      </c>
      <c r="L153" s="132"/>
      <c r="M153" s="183" t="s">
        <v>9</v>
      </c>
      <c r="N153" s="184" t="s">
        <v>27</v>
      </c>
      <c r="O153" s="185">
        <v>0.15</v>
      </c>
      <c r="P153" s="185">
        <f>O153*H153</f>
        <v>1.8149999999999999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AR153" s="128" t="s">
        <v>388</v>
      </c>
      <c r="AT153" s="128" t="s">
        <v>129</v>
      </c>
      <c r="AU153" s="128" t="s">
        <v>88</v>
      </c>
      <c r="AY153" s="128" t="s">
        <v>126</v>
      </c>
      <c r="BE153" s="138">
        <f>IF(N153="základná",J153,0)</f>
        <v>0</v>
      </c>
      <c r="BF153" s="138">
        <f>IF(N153="znížená",J153,0)</f>
        <v>0</v>
      </c>
      <c r="BG153" s="138">
        <f>IF(N153="zákl. prenesená",J153,0)</f>
        <v>0</v>
      </c>
      <c r="BH153" s="138">
        <f>IF(N153="zníž. prenesená",J153,0)</f>
        <v>0</v>
      </c>
      <c r="BI153" s="138">
        <f>IF(N153="nulová",J153,0)</f>
        <v>0</v>
      </c>
      <c r="BJ153" s="128" t="s">
        <v>88</v>
      </c>
      <c r="BK153" s="166">
        <f>ROUND(I153*H153,3)</f>
        <v>0</v>
      </c>
      <c r="BL153" s="128" t="s">
        <v>388</v>
      </c>
      <c r="BM153" s="128" t="s">
        <v>389</v>
      </c>
    </row>
    <row r="154" spans="2:65" s="26" customFormat="1" ht="16.5" customHeight="1" x14ac:dyDescent="0.25">
      <c r="B154" s="169"/>
      <c r="C154" s="194"/>
      <c r="D154" s="194"/>
      <c r="E154" s="195"/>
      <c r="F154" s="196"/>
      <c r="G154" s="197"/>
      <c r="H154" s="198"/>
      <c r="I154" s="198"/>
      <c r="J154" s="198"/>
      <c r="K154" s="196"/>
      <c r="L154" s="132"/>
      <c r="M154" s="128"/>
      <c r="N154" s="176"/>
      <c r="O154" s="177"/>
      <c r="P154" s="177"/>
      <c r="Q154" s="177"/>
      <c r="R154" s="177"/>
      <c r="S154" s="177"/>
      <c r="T154" s="177"/>
      <c r="AR154" s="128"/>
      <c r="AT154" s="128"/>
      <c r="AU154" s="128"/>
      <c r="AY154" s="128"/>
      <c r="BE154" s="138"/>
      <c r="BF154" s="138"/>
      <c r="BG154" s="138"/>
      <c r="BH154" s="138"/>
      <c r="BI154" s="138"/>
      <c r="BJ154" s="128"/>
      <c r="BK154" s="166"/>
      <c r="BL154" s="128"/>
      <c r="BM154" s="128"/>
    </row>
    <row r="155" spans="2:65" s="26" customFormat="1" ht="6.95" customHeight="1" x14ac:dyDescent="0.25">
      <c r="B155" s="141"/>
      <c r="C155" s="36"/>
      <c r="D155" s="36"/>
      <c r="E155" s="36"/>
      <c r="F155" s="36"/>
      <c r="G155" s="36"/>
      <c r="H155" s="36"/>
      <c r="I155" s="36"/>
      <c r="J155" s="36"/>
      <c r="K155" s="36"/>
      <c r="L155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6"/>
  <sheetViews>
    <sheetView topLeftCell="A79" workbookViewId="0">
      <selection activeCell="I89" sqref="I89:I138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9.5703125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35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51</v>
      </c>
      <c r="AZ2" s="128" t="s">
        <v>85</v>
      </c>
      <c r="BA2" s="128" t="s">
        <v>86</v>
      </c>
      <c r="BB2" s="128" t="s">
        <v>9</v>
      </c>
      <c r="BC2" s="128" t="s">
        <v>455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89</v>
      </c>
      <c r="BA3" s="128" t="s">
        <v>90</v>
      </c>
      <c r="BB3" s="128" t="s">
        <v>9</v>
      </c>
      <c r="BC3" s="128" t="s">
        <v>456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90</v>
      </c>
      <c r="BA4" s="128" t="s">
        <v>94</v>
      </c>
      <c r="BB4" s="128" t="s">
        <v>9</v>
      </c>
      <c r="BC4" s="128" t="s">
        <v>457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50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ROUND((SUM(BE86:BE135)),  2)</f>
        <v>0</v>
      </c>
      <c r="I33" s="139">
        <v>0.2</v>
      </c>
      <c r="J33" s="138">
        <f>ROUND(((SUM(BE86:BE135))*I33),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ROUND((SUM(BF86:BF135)),  2)</f>
        <v>0</v>
      </c>
      <c r="I34" s="139">
        <v>0.2</v>
      </c>
      <c r="J34" s="138">
        <f>ROUND(((SUM(BF86:BF135))*I34),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ROUND((SUM(BG86:BG135)),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ROUND((SUM(BH86:BH135)),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ROUND((SUM(BI86:BI135)),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>C atrium- demontáž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J90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J120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J121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J132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 t="e">
        <f>#REF!</f>
        <v>#REF!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458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J87+J120</f>
        <v>0</v>
      </c>
      <c r="L86" s="132"/>
      <c r="M86" s="153"/>
      <c r="N86" s="134"/>
      <c r="O86" s="134"/>
      <c r="P86" s="154" t="e">
        <f>P87+P120</f>
        <v>#REF!</v>
      </c>
      <c r="Q86" s="134"/>
      <c r="R86" s="154" t="e">
        <f>R87+R120</f>
        <v>#REF!</v>
      </c>
      <c r="S86" s="134"/>
      <c r="T86" s="155" t="e">
        <f>T87+T120</f>
        <v>#REF!</v>
      </c>
      <c r="AT86" s="128" t="s">
        <v>123</v>
      </c>
      <c r="AU86" s="128" t="s">
        <v>101</v>
      </c>
      <c r="BK86" s="156" t="e">
        <f>BK87+BK120</f>
        <v>#REF!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J88+J90</f>
        <v>0</v>
      </c>
      <c r="L87" s="157"/>
      <c r="M87" s="162"/>
      <c r="P87" s="163">
        <f>P88+P90</f>
        <v>868.62477758110003</v>
      </c>
      <c r="R87" s="163">
        <f>R88+R90</f>
        <v>1.2771341583000002</v>
      </c>
      <c r="T87" s="164">
        <f>T88+T90</f>
        <v>32.984999999999999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BK88+BK90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SUM(J89)</f>
        <v>0</v>
      </c>
      <c r="L88" s="157"/>
      <c r="M88" s="162"/>
      <c r="P88" s="163">
        <f>P89</f>
        <v>26.532987581100002</v>
      </c>
      <c r="R88" s="163">
        <f>R89</f>
        <v>1.2771341583000002</v>
      </c>
      <c r="T88" s="164">
        <f>T89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BK89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488.67*1.1*0.1*1.15</f>
        <v>61.816755000000008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26.532987581100002</v>
      </c>
      <c r="Q89" s="177">
        <v>2.0660000000000001E-2</v>
      </c>
      <c r="R89" s="177">
        <f>Q89*H89</f>
        <v>1.2771341583000002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158" customFormat="1" ht="22.9" customHeight="1" x14ac:dyDescent="0.2">
      <c r="B90" s="157"/>
      <c r="D90" s="159" t="s">
        <v>123</v>
      </c>
      <c r="E90" s="167" t="s">
        <v>138</v>
      </c>
      <c r="F90" s="167" t="s">
        <v>139</v>
      </c>
      <c r="J90" s="168">
        <f>SUM(J91:J118)</f>
        <v>0</v>
      </c>
      <c r="L90" s="157"/>
      <c r="M90" s="162"/>
      <c r="P90" s="163">
        <f>SUM(P91:P119)</f>
        <v>842.09179000000006</v>
      </c>
      <c r="R90" s="163">
        <f>SUM(R91:R119)</f>
        <v>0</v>
      </c>
      <c r="T90" s="164">
        <f>SUM(T91:T119)</f>
        <v>32.984999999999999</v>
      </c>
      <c r="AR90" s="159" t="s">
        <v>42</v>
      </c>
      <c r="AT90" s="165" t="s">
        <v>123</v>
      </c>
      <c r="AU90" s="165" t="s">
        <v>42</v>
      </c>
      <c r="AY90" s="159" t="s">
        <v>126</v>
      </c>
      <c r="BK90" s="166">
        <f>SUM(BK91:BK119)</f>
        <v>0</v>
      </c>
    </row>
    <row r="91" spans="2:65" s="26" customFormat="1" ht="16.5" customHeight="1" x14ac:dyDescent="0.25">
      <c r="B91" s="169"/>
      <c r="C91" s="170" t="s">
        <v>88</v>
      </c>
      <c r="D91" s="170" t="s">
        <v>129</v>
      </c>
      <c r="E91" s="171" t="s">
        <v>141</v>
      </c>
      <c r="F91" s="172" t="s">
        <v>142</v>
      </c>
      <c r="G91" s="173" t="s">
        <v>136</v>
      </c>
      <c r="H91" s="174">
        <v>733</v>
      </c>
      <c r="I91" s="174"/>
      <c r="J91" s="174">
        <f>ROUND(I91*H91,3)</f>
        <v>0</v>
      </c>
      <c r="K91" s="172" t="s">
        <v>9</v>
      </c>
      <c r="L91" s="132"/>
      <c r="M91" s="175" t="s">
        <v>9</v>
      </c>
      <c r="N91" s="176" t="s">
        <v>27</v>
      </c>
      <c r="O91" s="177">
        <v>0.13400000000000001</v>
      </c>
      <c r="P91" s="177">
        <f>O91*H91</f>
        <v>98.222000000000008</v>
      </c>
      <c r="Q91" s="177">
        <v>0</v>
      </c>
      <c r="R91" s="177">
        <f>Q91*H91</f>
        <v>0</v>
      </c>
      <c r="S91" s="177">
        <v>4.4999999999999998E-2</v>
      </c>
      <c r="T91" s="178">
        <f>S91*H91</f>
        <v>32.984999999999999</v>
      </c>
      <c r="AR91" s="128" t="s">
        <v>132</v>
      </c>
      <c r="AT91" s="128" t="s">
        <v>129</v>
      </c>
      <c r="AU91" s="128" t="s">
        <v>88</v>
      </c>
      <c r="AY91" s="128" t="s">
        <v>126</v>
      </c>
      <c r="BE91" s="138">
        <f>IF(N91="základná",J91,0)</f>
        <v>0</v>
      </c>
      <c r="BF91" s="138">
        <f>IF(N91="znížená",J91,0)</f>
        <v>0</v>
      </c>
      <c r="BG91" s="138">
        <f>IF(N91="zákl. prenesená",J91,0)</f>
        <v>0</v>
      </c>
      <c r="BH91" s="138">
        <f>IF(N91="zníž. prenesená",J91,0)</f>
        <v>0</v>
      </c>
      <c r="BI91" s="138">
        <f>IF(N91="nulová",J91,0)</f>
        <v>0</v>
      </c>
      <c r="BJ91" s="128" t="s">
        <v>88</v>
      </c>
      <c r="BK91" s="166">
        <f>ROUND(I91*H91,3)</f>
        <v>0</v>
      </c>
      <c r="BL91" s="128" t="s">
        <v>132</v>
      </c>
      <c r="BM91" s="128" t="s">
        <v>459</v>
      </c>
    </row>
    <row r="92" spans="2:65" s="26" customFormat="1" ht="16.5" customHeight="1" x14ac:dyDescent="0.25">
      <c r="B92" s="169"/>
      <c r="C92" s="170">
        <v>3</v>
      </c>
      <c r="D92" s="170"/>
      <c r="E92" s="171" t="s">
        <v>144</v>
      </c>
      <c r="F92" s="172" t="s">
        <v>145</v>
      </c>
      <c r="G92" s="173" t="s">
        <v>146</v>
      </c>
      <c r="H92" s="174">
        <f>H96+H105+H116</f>
        <v>183.45180000000002</v>
      </c>
      <c r="I92" s="174"/>
      <c r="J92" s="174">
        <f>ROUND(I92*H92,3)</f>
        <v>0</v>
      </c>
      <c r="K92" s="172"/>
      <c r="L92" s="132"/>
      <c r="M92" s="175"/>
      <c r="N92" s="176"/>
      <c r="O92" s="177"/>
      <c r="P92" s="177"/>
      <c r="Q92" s="177"/>
      <c r="R92" s="177"/>
      <c r="S92" s="177"/>
      <c r="T92" s="178"/>
      <c r="AR92" s="128"/>
      <c r="AT92" s="128"/>
      <c r="AU92" s="128"/>
      <c r="AY92" s="128"/>
      <c r="BE92" s="138"/>
      <c r="BF92" s="138"/>
      <c r="BG92" s="138"/>
      <c r="BH92" s="138"/>
      <c r="BI92" s="138"/>
      <c r="BJ92" s="128"/>
      <c r="BK92" s="166"/>
      <c r="BL92" s="128"/>
      <c r="BM92" s="128"/>
    </row>
    <row r="93" spans="2:65" s="26" customFormat="1" ht="16.5" customHeight="1" x14ac:dyDescent="0.25">
      <c r="B93" s="169"/>
      <c r="C93" s="170">
        <v>4</v>
      </c>
      <c r="D93" s="170"/>
      <c r="E93" s="171" t="s">
        <v>148</v>
      </c>
      <c r="F93" s="172" t="s">
        <v>149</v>
      </c>
      <c r="G93" s="173" t="s">
        <v>146</v>
      </c>
      <c r="H93" s="174">
        <f>H92*10</f>
        <v>1834.5180000000003</v>
      </c>
      <c r="I93" s="174"/>
      <c r="J93" s="174">
        <f>ROUND(I93*H93,3)</f>
        <v>0</v>
      </c>
      <c r="K93" s="172"/>
      <c r="L93" s="132"/>
      <c r="M93" s="175"/>
      <c r="N93" s="176"/>
      <c r="O93" s="177"/>
      <c r="P93" s="177"/>
      <c r="Q93" s="177"/>
      <c r="R93" s="177"/>
      <c r="S93" s="177"/>
      <c r="T93" s="178"/>
      <c r="AR93" s="128"/>
      <c r="AT93" s="128"/>
      <c r="AU93" s="128"/>
      <c r="AY93" s="128"/>
      <c r="BE93" s="138"/>
      <c r="BF93" s="138"/>
      <c r="BG93" s="138"/>
      <c r="BH93" s="138"/>
      <c r="BI93" s="138"/>
      <c r="BJ93" s="128"/>
      <c r="BK93" s="166"/>
      <c r="BL93" s="128"/>
      <c r="BM93" s="128"/>
    </row>
    <row r="94" spans="2:65" s="26" customFormat="1" ht="16.5" customHeight="1" x14ac:dyDescent="0.25">
      <c r="B94" s="169"/>
      <c r="C94" s="170"/>
      <c r="D94" s="170" t="s">
        <v>129</v>
      </c>
      <c r="E94" s="171"/>
      <c r="F94" s="172" t="s">
        <v>150</v>
      </c>
      <c r="K94" s="172" t="s">
        <v>9</v>
      </c>
      <c r="L94" s="132"/>
      <c r="M94" s="175" t="s">
        <v>9</v>
      </c>
      <c r="N94" s="176" t="s">
        <v>27</v>
      </c>
      <c r="O94" s="177">
        <v>0.89</v>
      </c>
      <c r="P94" s="177">
        <f>O94*H95</f>
        <v>0.89</v>
      </c>
      <c r="Q94" s="177">
        <v>0</v>
      </c>
      <c r="R94" s="177">
        <f>Q94*H95</f>
        <v>0</v>
      </c>
      <c r="S94" s="177">
        <v>0</v>
      </c>
      <c r="T94" s="178">
        <f>S94*H95</f>
        <v>0</v>
      </c>
      <c r="AR94" s="128" t="s">
        <v>132</v>
      </c>
      <c r="AT94" s="128" t="s">
        <v>129</v>
      </c>
      <c r="AU94" s="128" t="s">
        <v>88</v>
      </c>
      <c r="AY94" s="128" t="s">
        <v>126</v>
      </c>
      <c r="BE94" s="138">
        <f>IF(N94="základná",J95,0)</f>
        <v>0</v>
      </c>
      <c r="BF94" s="138">
        <f>IF(N94="znížená",J95,0)</f>
        <v>0</v>
      </c>
      <c r="BG94" s="138">
        <f>IF(N94="zákl. prenesená",J95,0)</f>
        <v>0</v>
      </c>
      <c r="BH94" s="138">
        <f>IF(N94="zníž. prenesená",J95,0)</f>
        <v>0</v>
      </c>
      <c r="BI94" s="138">
        <f>IF(N94="nulová",J95,0)</f>
        <v>0</v>
      </c>
      <c r="BJ94" s="128" t="s">
        <v>88</v>
      </c>
      <c r="BK94" s="166">
        <f>ROUND(I95*H95,3)</f>
        <v>0</v>
      </c>
      <c r="BL94" s="128" t="s">
        <v>132</v>
      </c>
      <c r="BM94" s="128" t="s">
        <v>460</v>
      </c>
    </row>
    <row r="95" spans="2:65" s="26" customFormat="1" ht="16.5" customHeight="1" x14ac:dyDescent="0.25">
      <c r="B95" s="169"/>
      <c r="C95" s="170">
        <v>5</v>
      </c>
      <c r="D95" s="170"/>
      <c r="E95" s="171" t="s">
        <v>151</v>
      </c>
      <c r="F95" s="172" t="s">
        <v>152</v>
      </c>
      <c r="G95" s="173" t="s">
        <v>153</v>
      </c>
      <c r="H95" s="174">
        <v>1</v>
      </c>
      <c r="I95" s="174"/>
      <c r="J95" s="174">
        <f>ROUND(I95*H95,3)</f>
        <v>0</v>
      </c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16.5" customHeight="1" x14ac:dyDescent="0.25">
      <c r="B96" s="169"/>
      <c r="C96" s="170">
        <v>6</v>
      </c>
      <c r="D96" s="170" t="s">
        <v>129</v>
      </c>
      <c r="E96" s="171" t="s">
        <v>154</v>
      </c>
      <c r="F96" s="172" t="s">
        <v>155</v>
      </c>
      <c r="G96" s="173" t="s">
        <v>146</v>
      </c>
      <c r="H96" s="174">
        <v>28.512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</v>
      </c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157</v>
      </c>
    </row>
    <row r="97" spans="2:65" s="26" customFormat="1" ht="16.5" customHeight="1" x14ac:dyDescent="0.25">
      <c r="B97" s="169"/>
      <c r="C97" s="170">
        <v>7</v>
      </c>
      <c r="D97" s="170" t="s">
        <v>129</v>
      </c>
      <c r="E97" s="171" t="s">
        <v>158</v>
      </c>
      <c r="F97" s="172" t="s">
        <v>159</v>
      </c>
      <c r="G97" s="173" t="s">
        <v>146</v>
      </c>
      <c r="H97" s="174">
        <v>28.512</v>
      </c>
      <c r="I97" s="174"/>
      <c r="J97" s="174">
        <f>ROUND(I97*H97,3)</f>
        <v>0</v>
      </c>
      <c r="K97" s="172" t="s">
        <v>9</v>
      </c>
      <c r="L97" s="132"/>
      <c r="M97" s="175" t="s">
        <v>9</v>
      </c>
      <c r="N97" s="176" t="s">
        <v>27</v>
      </c>
      <c r="O97" s="177">
        <v>0.88200000000000001</v>
      </c>
      <c r="P97" s="177">
        <f>O97*H97</f>
        <v>25.147584000000002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160</v>
      </c>
    </row>
    <row r="98" spans="2:65" s="26" customFormat="1" x14ac:dyDescent="0.25">
      <c r="B98" s="132"/>
      <c r="D98" s="179" t="s">
        <v>161</v>
      </c>
      <c r="E98" s="128" t="s">
        <v>9</v>
      </c>
      <c r="F98" s="143" t="s">
        <v>162</v>
      </c>
      <c r="H98" s="166">
        <v>28.512</v>
      </c>
      <c r="L98" s="132"/>
      <c r="M98" s="180"/>
      <c r="T98" s="181"/>
      <c r="AT98" s="128" t="s">
        <v>161</v>
      </c>
      <c r="AU98" s="128" t="s">
        <v>88</v>
      </c>
      <c r="AV98" s="26" t="s">
        <v>88</v>
      </c>
      <c r="AW98" s="26" t="s">
        <v>163</v>
      </c>
      <c r="AX98" s="26" t="s">
        <v>42</v>
      </c>
      <c r="AY98" s="128" t="s">
        <v>126</v>
      </c>
    </row>
    <row r="99" spans="2:65" s="26" customFormat="1" ht="16.5" customHeight="1" x14ac:dyDescent="0.25">
      <c r="B99" s="169"/>
      <c r="C99" s="170">
        <v>8</v>
      </c>
      <c r="D99" s="170" t="s">
        <v>129</v>
      </c>
      <c r="E99" s="171" t="s">
        <v>164</v>
      </c>
      <c r="F99" s="172" t="s">
        <v>165</v>
      </c>
      <c r="G99" s="173" t="s">
        <v>146</v>
      </c>
      <c r="H99" s="174">
        <f>H97*4</f>
        <v>114.048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0.61799999999999999</v>
      </c>
      <c r="P99" s="177">
        <f>O99*H99</f>
        <v>70.481663999999995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166</v>
      </c>
    </row>
    <row r="100" spans="2:65" s="26" customFormat="1" x14ac:dyDescent="0.25">
      <c r="B100" s="132"/>
      <c r="D100" s="179" t="s">
        <v>161</v>
      </c>
      <c r="E100" s="128" t="s">
        <v>9</v>
      </c>
      <c r="F100" s="143" t="s">
        <v>461</v>
      </c>
      <c r="H100" s="166"/>
      <c r="L100" s="132"/>
      <c r="M100" s="180"/>
      <c r="T100" s="181"/>
      <c r="AT100" s="128" t="s">
        <v>161</v>
      </c>
      <c r="AU100" s="128" t="s">
        <v>88</v>
      </c>
      <c r="AV100" s="26" t="s">
        <v>88</v>
      </c>
      <c r="AW100" s="26" t="s">
        <v>163</v>
      </c>
      <c r="AX100" s="26" t="s">
        <v>42</v>
      </c>
      <c r="AY100" s="128" t="s">
        <v>126</v>
      </c>
    </row>
    <row r="101" spans="2:65" s="26" customFormat="1" ht="16.5" customHeight="1" x14ac:dyDescent="0.25">
      <c r="B101" s="169"/>
      <c r="C101" s="170">
        <v>9</v>
      </c>
      <c r="D101" s="170" t="s">
        <v>129</v>
      </c>
      <c r="E101" s="171" t="s">
        <v>167</v>
      </c>
      <c r="F101" s="172" t="s">
        <v>168</v>
      </c>
      <c r="G101" s="173" t="s">
        <v>146</v>
      </c>
      <c r="H101" s="174">
        <v>28.512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0.59799999999999998</v>
      </c>
      <c r="P101" s="177">
        <f>O101*H101</f>
        <v>17.050176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132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132</v>
      </c>
      <c r="BM101" s="128" t="s">
        <v>169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162</v>
      </c>
      <c r="H102" s="166">
        <v>28.512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16.5" customHeight="1" x14ac:dyDescent="0.25">
      <c r="B103" s="169"/>
      <c r="C103" s="170">
        <v>10</v>
      </c>
      <c r="D103" s="170" t="s">
        <v>129</v>
      </c>
      <c r="E103" s="171" t="s">
        <v>170</v>
      </c>
      <c r="F103" s="172" t="s">
        <v>171</v>
      </c>
      <c r="G103" s="173" t="s">
        <v>146</v>
      </c>
      <c r="H103" s="174">
        <v>399.16800000000001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7.0000000000000001E-3</v>
      </c>
      <c r="P103" s="177">
        <f>O103*H103</f>
        <v>2.7941760000000002</v>
      </c>
      <c r="Q103" s="177">
        <v>0</v>
      </c>
      <c r="R103" s="177">
        <f>Q103*H103</f>
        <v>0</v>
      </c>
      <c r="S103" s="177">
        <v>0</v>
      </c>
      <c r="T103" s="178">
        <f>S103*H103</f>
        <v>0</v>
      </c>
      <c r="AR103" s="128" t="s">
        <v>132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132</v>
      </c>
      <c r="BM103" s="128" t="s">
        <v>172</v>
      </c>
    </row>
    <row r="104" spans="2:65" s="26" customFormat="1" x14ac:dyDescent="0.25">
      <c r="B104" s="132"/>
      <c r="D104" s="179" t="s">
        <v>161</v>
      </c>
      <c r="E104" s="128" t="s">
        <v>9</v>
      </c>
      <c r="F104" s="143" t="s">
        <v>173</v>
      </c>
      <c r="H104" s="166">
        <v>399.16800000000001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163</v>
      </c>
      <c r="AX104" s="26" t="s">
        <v>42</v>
      </c>
      <c r="AY104" s="128" t="s">
        <v>126</v>
      </c>
    </row>
    <row r="105" spans="2:65" s="26" customFormat="1" ht="16.5" customHeight="1" x14ac:dyDescent="0.25">
      <c r="B105" s="169"/>
      <c r="C105" s="170">
        <v>11</v>
      </c>
      <c r="D105" s="170" t="s">
        <v>129</v>
      </c>
      <c r="E105" s="171" t="s">
        <v>174</v>
      </c>
      <c r="F105" s="172" t="s">
        <v>175</v>
      </c>
      <c r="G105" s="173" t="s">
        <v>146</v>
      </c>
      <c r="H105" s="174">
        <f>32.985+53.754*2.2</f>
        <v>151.24380000000002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</v>
      </c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176</v>
      </c>
    </row>
    <row r="106" spans="2:65" s="26" customFormat="1" ht="16.5" customHeight="1" x14ac:dyDescent="0.25">
      <c r="B106" s="169"/>
      <c r="C106" s="170">
        <v>12</v>
      </c>
      <c r="D106" s="170" t="s">
        <v>129</v>
      </c>
      <c r="E106" s="171" t="s">
        <v>158</v>
      </c>
      <c r="F106" s="172" t="s">
        <v>159</v>
      </c>
      <c r="G106" s="173" t="s">
        <v>146</v>
      </c>
      <c r="H106" s="174">
        <f>H105</f>
        <v>151.24380000000002</v>
      </c>
      <c r="I106" s="174"/>
      <c r="J106" s="174">
        <f>ROUND(I106*H106,3)</f>
        <v>0</v>
      </c>
      <c r="K106" s="172" t="s">
        <v>9</v>
      </c>
      <c r="L106" s="132"/>
      <c r="M106" s="175" t="s">
        <v>9</v>
      </c>
      <c r="N106" s="176" t="s">
        <v>27</v>
      </c>
      <c r="O106" s="177">
        <v>0.88200000000000001</v>
      </c>
      <c r="P106" s="177">
        <f>O106*H106</f>
        <v>133.39703160000002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177</v>
      </c>
    </row>
    <row r="107" spans="2:65" s="26" customFormat="1" ht="16.5" customHeight="1" x14ac:dyDescent="0.25">
      <c r="B107" s="169"/>
      <c r="C107" s="170">
        <v>13</v>
      </c>
      <c r="D107" s="170" t="s">
        <v>129</v>
      </c>
      <c r="E107" s="171" t="s">
        <v>164</v>
      </c>
      <c r="F107" s="172" t="s">
        <v>165</v>
      </c>
      <c r="G107" s="173" t="s">
        <v>146</v>
      </c>
      <c r="H107" s="174">
        <f>H105*4</f>
        <v>604.97520000000009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0.61799999999999999</v>
      </c>
      <c r="P107" s="177">
        <f>O107*H107</f>
        <v>373.87467360000005</v>
      </c>
      <c r="Q107" s="177">
        <v>0</v>
      </c>
      <c r="R107" s="177">
        <f>Q107*H107</f>
        <v>0</v>
      </c>
      <c r="S107" s="177">
        <v>0</v>
      </c>
      <c r="T107" s="178">
        <f>S107*H107</f>
        <v>0</v>
      </c>
      <c r="AR107" s="128" t="s">
        <v>132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132</v>
      </c>
      <c r="BM107" s="128" t="s">
        <v>178</v>
      </c>
    </row>
    <row r="108" spans="2:65" s="26" customFormat="1" x14ac:dyDescent="0.25">
      <c r="B108" s="132"/>
      <c r="D108" s="179" t="s">
        <v>161</v>
      </c>
      <c r="E108" s="128" t="s">
        <v>9</v>
      </c>
      <c r="F108" s="143" t="s">
        <v>462</v>
      </c>
      <c r="H108" s="166"/>
      <c r="L108" s="132"/>
      <c r="M108" s="180"/>
      <c r="T108" s="181"/>
      <c r="AT108" s="128" t="s">
        <v>161</v>
      </c>
      <c r="AU108" s="128" t="s">
        <v>88</v>
      </c>
      <c r="AV108" s="26" t="s">
        <v>88</v>
      </c>
      <c r="AW108" s="26" t="s">
        <v>163</v>
      </c>
      <c r="AX108" s="26" t="s">
        <v>42</v>
      </c>
      <c r="AY108" s="128" t="s">
        <v>126</v>
      </c>
    </row>
    <row r="109" spans="2:65" s="26" customFormat="1" ht="16.5" customHeight="1" x14ac:dyDescent="0.25">
      <c r="B109" s="169"/>
      <c r="C109" s="170">
        <v>14</v>
      </c>
      <c r="D109" s="170" t="s">
        <v>129</v>
      </c>
      <c r="E109" s="171" t="s">
        <v>167</v>
      </c>
      <c r="F109" s="172" t="s">
        <v>168</v>
      </c>
      <c r="G109" s="173" t="s">
        <v>146</v>
      </c>
      <c r="H109" s="174">
        <f>H106</f>
        <v>151.24380000000002</v>
      </c>
      <c r="I109" s="174"/>
      <c r="J109" s="174">
        <f>ROUND(I109*H109,3)</f>
        <v>0</v>
      </c>
      <c r="K109" s="172" t="s">
        <v>156</v>
      </c>
      <c r="L109" s="132"/>
      <c r="M109" s="175" t="s">
        <v>9</v>
      </c>
      <c r="N109" s="176" t="s">
        <v>27</v>
      </c>
      <c r="O109" s="177">
        <v>0.59799999999999998</v>
      </c>
      <c r="P109" s="177">
        <f>O109*H109</f>
        <v>90.443792400000007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28" t="s">
        <v>132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132</v>
      </c>
      <c r="BM109" s="128" t="s">
        <v>179</v>
      </c>
    </row>
    <row r="110" spans="2:65" s="26" customFormat="1" ht="16.5" customHeight="1" x14ac:dyDescent="0.25">
      <c r="B110" s="169"/>
      <c r="C110" s="170">
        <v>15</v>
      </c>
      <c r="D110" s="170" t="s">
        <v>129</v>
      </c>
      <c r="E110" s="171" t="s">
        <v>170</v>
      </c>
      <c r="F110" s="172" t="s">
        <v>171</v>
      </c>
      <c r="G110" s="173" t="s">
        <v>146</v>
      </c>
      <c r="H110" s="174">
        <f>H105*14</f>
        <v>2117.4132000000004</v>
      </c>
      <c r="I110" s="174"/>
      <c r="J110" s="174">
        <f>ROUND(I110*H110,3)</f>
        <v>0</v>
      </c>
      <c r="K110" s="172" t="s">
        <v>156</v>
      </c>
      <c r="L110" s="132"/>
      <c r="M110" s="175" t="s">
        <v>9</v>
      </c>
      <c r="N110" s="176" t="s">
        <v>27</v>
      </c>
      <c r="O110" s="177">
        <v>7.0000000000000001E-3</v>
      </c>
      <c r="P110" s="177">
        <f>O110*H110</f>
        <v>14.821892400000003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28" t="s">
        <v>132</v>
      </c>
      <c r="AT110" s="128" t="s">
        <v>129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132</v>
      </c>
      <c r="BM110" s="128" t="s">
        <v>180</v>
      </c>
    </row>
    <row r="111" spans="2:65" s="26" customFormat="1" x14ac:dyDescent="0.25">
      <c r="B111" s="132"/>
      <c r="D111" s="179" t="s">
        <v>161</v>
      </c>
      <c r="E111" s="128" t="s">
        <v>9</v>
      </c>
      <c r="F111" s="143" t="s">
        <v>463</v>
      </c>
      <c r="H111" s="166"/>
      <c r="L111" s="132"/>
      <c r="M111" s="180"/>
      <c r="T111" s="181"/>
      <c r="AT111" s="128" t="s">
        <v>161</v>
      </c>
      <c r="AU111" s="128" t="s">
        <v>88</v>
      </c>
      <c r="AV111" s="26" t="s">
        <v>88</v>
      </c>
      <c r="AW111" s="26" t="s">
        <v>163</v>
      </c>
      <c r="AX111" s="26" t="s">
        <v>42</v>
      </c>
      <c r="AY111" s="128" t="s">
        <v>126</v>
      </c>
    </row>
    <row r="112" spans="2:65" s="26" customFormat="1" ht="16.5" customHeight="1" x14ac:dyDescent="0.25">
      <c r="B112" s="169"/>
      <c r="C112" s="170">
        <v>16</v>
      </c>
      <c r="D112" s="170" t="s">
        <v>129</v>
      </c>
      <c r="E112" s="171" t="s">
        <v>182</v>
      </c>
      <c r="F112" s="172" t="s">
        <v>183</v>
      </c>
      <c r="G112" s="173" t="s">
        <v>146</v>
      </c>
      <c r="H112" s="174">
        <v>3.6960000000000002</v>
      </c>
      <c r="I112" s="174"/>
      <c r="J112" s="174">
        <f>ROUND(I112*H112,3)</f>
        <v>0</v>
      </c>
      <c r="K112" s="172" t="s">
        <v>156</v>
      </c>
      <c r="L112" s="132"/>
      <c r="M112" s="175" t="s">
        <v>9</v>
      </c>
      <c r="N112" s="176" t="s">
        <v>27</v>
      </c>
      <c r="O112" s="177">
        <v>0</v>
      </c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184</v>
      </c>
    </row>
    <row r="113" spans="2:65" s="26" customFormat="1" ht="16.5" customHeight="1" x14ac:dyDescent="0.25">
      <c r="B113" s="169"/>
      <c r="C113" s="170">
        <v>17</v>
      </c>
      <c r="D113" s="170" t="s">
        <v>129</v>
      </c>
      <c r="E113" s="171" t="s">
        <v>158</v>
      </c>
      <c r="F113" s="172" t="s">
        <v>159</v>
      </c>
      <c r="G113" s="173" t="s">
        <v>146</v>
      </c>
      <c r="H113" s="174">
        <v>3.6960000000000002</v>
      </c>
      <c r="I113" s="174"/>
      <c r="J113" s="174">
        <f>ROUND(I113*H113,3)</f>
        <v>0</v>
      </c>
      <c r="K113" s="172" t="s">
        <v>9</v>
      </c>
      <c r="L113" s="132"/>
      <c r="M113" s="175" t="s">
        <v>9</v>
      </c>
      <c r="N113" s="176" t="s">
        <v>27</v>
      </c>
      <c r="O113" s="177">
        <v>0.88200000000000001</v>
      </c>
      <c r="P113" s="177">
        <f>O113*H113</f>
        <v>3.2598720000000001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185</v>
      </c>
    </row>
    <row r="114" spans="2:65" s="26" customFormat="1" ht="16.5" customHeight="1" x14ac:dyDescent="0.25">
      <c r="B114" s="169"/>
      <c r="C114" s="170">
        <v>18</v>
      </c>
      <c r="D114" s="170" t="s">
        <v>129</v>
      </c>
      <c r="E114" s="171" t="s">
        <v>164</v>
      </c>
      <c r="F114" s="172" t="s">
        <v>165</v>
      </c>
      <c r="G114" s="173" t="s">
        <v>146</v>
      </c>
      <c r="H114" s="174">
        <f>H113*4</f>
        <v>14.784000000000001</v>
      </c>
      <c r="I114" s="174"/>
      <c r="J114" s="174">
        <f>ROUND(I114*H114,3)</f>
        <v>0</v>
      </c>
      <c r="K114" s="172" t="s">
        <v>9</v>
      </c>
      <c r="L114" s="132"/>
      <c r="M114" s="175" t="s">
        <v>9</v>
      </c>
      <c r="N114" s="176" t="s">
        <v>27</v>
      </c>
      <c r="O114" s="177">
        <v>0.61799999999999999</v>
      </c>
      <c r="P114" s="177">
        <f>O114*H114</f>
        <v>9.1365119999999997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28" t="s">
        <v>132</v>
      </c>
      <c r="AT114" s="128" t="s">
        <v>129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132</v>
      </c>
      <c r="BM114" s="128" t="s">
        <v>186</v>
      </c>
    </row>
    <row r="115" spans="2:65" s="26" customFormat="1" x14ac:dyDescent="0.25">
      <c r="B115" s="132"/>
      <c r="D115" s="179" t="s">
        <v>161</v>
      </c>
      <c r="E115" s="128" t="s">
        <v>9</v>
      </c>
      <c r="F115" s="143" t="s">
        <v>464</v>
      </c>
      <c r="H115" s="166"/>
      <c r="L115" s="132"/>
      <c r="M115" s="180"/>
      <c r="T115" s="181"/>
      <c r="AT115" s="128" t="s">
        <v>161</v>
      </c>
      <c r="AU115" s="128" t="s">
        <v>88</v>
      </c>
      <c r="AV115" s="26" t="s">
        <v>88</v>
      </c>
      <c r="AW115" s="26" t="s">
        <v>163</v>
      </c>
      <c r="AX115" s="26" t="s">
        <v>42</v>
      </c>
      <c r="AY115" s="128" t="s">
        <v>126</v>
      </c>
    </row>
    <row r="116" spans="2:65" s="26" customFormat="1" ht="16.5" customHeight="1" x14ac:dyDescent="0.25">
      <c r="B116" s="169"/>
      <c r="C116" s="170">
        <v>19</v>
      </c>
      <c r="D116" s="170" t="s">
        <v>129</v>
      </c>
      <c r="E116" s="171" t="s">
        <v>167</v>
      </c>
      <c r="F116" s="172" t="s">
        <v>168</v>
      </c>
      <c r="G116" s="173" t="s">
        <v>146</v>
      </c>
      <c r="H116" s="174">
        <v>3.6960000000000002</v>
      </c>
      <c r="I116" s="174"/>
      <c r="J116" s="174">
        <f>ROUND(I116*H116,3)</f>
        <v>0</v>
      </c>
      <c r="K116" s="172" t="s">
        <v>156</v>
      </c>
      <c r="L116" s="132"/>
      <c r="M116" s="175" t="s">
        <v>9</v>
      </c>
      <c r="N116" s="176" t="s">
        <v>27</v>
      </c>
      <c r="O116" s="177">
        <v>0.59799999999999998</v>
      </c>
      <c r="P116" s="177">
        <f>O116*H116</f>
        <v>2.2102080000000002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28" t="s">
        <v>132</v>
      </c>
      <c r="AT116" s="128" t="s">
        <v>129</v>
      </c>
      <c r="AU116" s="128" t="s">
        <v>88</v>
      </c>
      <c r="AY116" s="128" t="s">
        <v>126</v>
      </c>
      <c r="BE116" s="138">
        <f>IF(N116="základná",J116,0)</f>
        <v>0</v>
      </c>
      <c r="BF116" s="138">
        <f>IF(N116="znížená",J116,0)</f>
        <v>0</v>
      </c>
      <c r="BG116" s="138">
        <f>IF(N116="zákl. prenesená",J116,0)</f>
        <v>0</v>
      </c>
      <c r="BH116" s="138">
        <f>IF(N116="zníž. prenesená",J116,0)</f>
        <v>0</v>
      </c>
      <c r="BI116" s="138">
        <f>IF(N116="nulová",J116,0)</f>
        <v>0</v>
      </c>
      <c r="BJ116" s="128" t="s">
        <v>88</v>
      </c>
      <c r="BK116" s="166">
        <f>ROUND(I116*H116,3)</f>
        <v>0</v>
      </c>
      <c r="BL116" s="128" t="s">
        <v>132</v>
      </c>
      <c r="BM116" s="128" t="s">
        <v>188</v>
      </c>
    </row>
    <row r="117" spans="2:65" s="26" customFormat="1" x14ac:dyDescent="0.25">
      <c r="B117" s="132"/>
      <c r="D117" s="179" t="s">
        <v>161</v>
      </c>
      <c r="E117" s="128" t="s">
        <v>9</v>
      </c>
      <c r="F117" s="143" t="s">
        <v>90</v>
      </c>
      <c r="H117" s="166">
        <v>3.6960000000000002</v>
      </c>
      <c r="L117" s="132"/>
      <c r="M117" s="180"/>
      <c r="T117" s="181"/>
      <c r="AT117" s="128" t="s">
        <v>161</v>
      </c>
      <c r="AU117" s="128" t="s">
        <v>88</v>
      </c>
      <c r="AV117" s="26" t="s">
        <v>88</v>
      </c>
      <c r="AW117" s="26" t="s">
        <v>163</v>
      </c>
      <c r="AX117" s="26" t="s">
        <v>42</v>
      </c>
      <c r="AY117" s="128" t="s">
        <v>126</v>
      </c>
    </row>
    <row r="118" spans="2:65" s="26" customFormat="1" ht="16.5" customHeight="1" x14ac:dyDescent="0.25">
      <c r="B118" s="169"/>
      <c r="C118" s="170">
        <v>20</v>
      </c>
      <c r="D118" s="170" t="s">
        <v>129</v>
      </c>
      <c r="E118" s="171" t="s">
        <v>170</v>
      </c>
      <c r="F118" s="172" t="s">
        <v>171</v>
      </c>
      <c r="G118" s="173" t="s">
        <v>146</v>
      </c>
      <c r="H118" s="174">
        <v>51.744</v>
      </c>
      <c r="I118" s="174"/>
      <c r="J118" s="174">
        <f>ROUND(I118*H118,3)</f>
        <v>0</v>
      </c>
      <c r="K118" s="172" t="s">
        <v>156</v>
      </c>
      <c r="L118" s="132"/>
      <c r="M118" s="175" t="s">
        <v>9</v>
      </c>
      <c r="N118" s="176" t="s">
        <v>27</v>
      </c>
      <c r="O118" s="177">
        <v>7.0000000000000001E-3</v>
      </c>
      <c r="P118" s="177">
        <f>O118*H118</f>
        <v>0.36220800000000003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AR118" s="128" t="s">
        <v>132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132</v>
      </c>
      <c r="BM118" s="128" t="s">
        <v>189</v>
      </c>
    </row>
    <row r="119" spans="2:65" s="26" customFormat="1" x14ac:dyDescent="0.25">
      <c r="B119" s="132"/>
      <c r="D119" s="179" t="s">
        <v>161</v>
      </c>
      <c r="E119" s="128" t="s">
        <v>9</v>
      </c>
      <c r="F119" s="143" t="s">
        <v>190</v>
      </c>
      <c r="H119" s="166">
        <v>51.744</v>
      </c>
      <c r="L119" s="132"/>
      <c r="M119" s="180"/>
      <c r="T119" s="181"/>
      <c r="AT119" s="128" t="s">
        <v>161</v>
      </c>
      <c r="AU119" s="128" t="s">
        <v>88</v>
      </c>
      <c r="AV119" s="26" t="s">
        <v>88</v>
      </c>
      <c r="AW119" s="26" t="s">
        <v>163</v>
      </c>
      <c r="AX119" s="26" t="s">
        <v>42</v>
      </c>
      <c r="AY119" s="128" t="s">
        <v>126</v>
      </c>
    </row>
    <row r="120" spans="2:65" s="158" customFormat="1" ht="25.9" customHeight="1" x14ac:dyDescent="0.2">
      <c r="B120" s="157"/>
      <c r="D120" s="159" t="s">
        <v>123</v>
      </c>
      <c r="E120" s="160" t="s">
        <v>191</v>
      </c>
      <c r="F120" s="160" t="s">
        <v>192</v>
      </c>
      <c r="J120" s="161">
        <f>J121+J132</f>
        <v>0</v>
      </c>
      <c r="L120" s="182"/>
      <c r="M120" s="162"/>
      <c r="P120" s="163" t="e">
        <f>P121+P132+#REF!</f>
        <v>#REF!</v>
      </c>
      <c r="R120" s="163" t="e">
        <f>R121+R132+#REF!</f>
        <v>#REF!</v>
      </c>
      <c r="T120" s="164" t="e">
        <f>T121+T132+#REF!</f>
        <v>#REF!</v>
      </c>
      <c r="AR120" s="159" t="s">
        <v>88</v>
      </c>
      <c r="AT120" s="165" t="s">
        <v>123</v>
      </c>
      <c r="AU120" s="165" t="s">
        <v>39</v>
      </c>
      <c r="AY120" s="159" t="s">
        <v>126</v>
      </c>
      <c r="BK120" s="166" t="e">
        <f>BK121+BK132+#REF!</f>
        <v>#REF!</v>
      </c>
    </row>
    <row r="121" spans="2:65" s="158" customFormat="1" ht="22.9" customHeight="1" x14ac:dyDescent="0.2">
      <c r="B121" s="157"/>
      <c r="D121" s="159" t="s">
        <v>123</v>
      </c>
      <c r="E121" s="167" t="s">
        <v>193</v>
      </c>
      <c r="F121" s="167" t="s">
        <v>194</v>
      </c>
      <c r="J121" s="168">
        <f>SUM(J123:J131)</f>
        <v>0</v>
      </c>
      <c r="L121" s="182"/>
      <c r="M121" s="162"/>
      <c r="P121" s="163">
        <f>SUM(P122:P131)</f>
        <v>472.05259999999998</v>
      </c>
      <c r="R121" s="163">
        <f>SUM(R122:R131)</f>
        <v>0.72567000000000004</v>
      </c>
      <c r="T121" s="164">
        <f>SUM(T122:T131)</f>
        <v>20.595599999999997</v>
      </c>
      <c r="AR121" s="159" t="s">
        <v>88</v>
      </c>
      <c r="AT121" s="165" t="s">
        <v>123</v>
      </c>
      <c r="AU121" s="165" t="s">
        <v>42</v>
      </c>
      <c r="AY121" s="159" t="s">
        <v>126</v>
      </c>
      <c r="BK121" s="166">
        <f>SUM(BK122:BK131)</f>
        <v>0</v>
      </c>
    </row>
    <row r="123" spans="2:65" s="26" customFormat="1" ht="16.5" customHeight="1" x14ac:dyDescent="0.25">
      <c r="B123" s="169"/>
      <c r="C123" s="170">
        <v>21</v>
      </c>
      <c r="D123" s="170" t="s">
        <v>129</v>
      </c>
      <c r="E123" s="171" t="s">
        <v>199</v>
      </c>
      <c r="F123" s="172" t="s">
        <v>200</v>
      </c>
      <c r="G123" s="173" t="s">
        <v>136</v>
      </c>
      <c r="H123" s="174">
        <v>733</v>
      </c>
      <c r="I123" s="174"/>
      <c r="J123" s="174">
        <f>ROUND(I123*H123,3)</f>
        <v>0</v>
      </c>
      <c r="K123" s="172" t="s">
        <v>9</v>
      </c>
      <c r="L123" s="132"/>
      <c r="M123" s="175" t="s">
        <v>9</v>
      </c>
      <c r="N123" s="176" t="s">
        <v>27</v>
      </c>
      <c r="O123" s="177">
        <v>2.7E-2</v>
      </c>
      <c r="P123" s="177">
        <f>O123*H123</f>
        <v>19.791</v>
      </c>
      <c r="Q123" s="177">
        <v>0</v>
      </c>
      <c r="R123" s="177">
        <f>Q123*H123</f>
        <v>0</v>
      </c>
      <c r="S123" s="177">
        <v>0</v>
      </c>
      <c r="T123" s="178">
        <f>S123*H123</f>
        <v>0</v>
      </c>
      <c r="AR123" s="128" t="s">
        <v>197</v>
      </c>
      <c r="AT123" s="128" t="s">
        <v>129</v>
      </c>
      <c r="AU123" s="128" t="s">
        <v>88</v>
      </c>
      <c r="AY123" s="128" t="s">
        <v>126</v>
      </c>
      <c r="BE123" s="138">
        <f>IF(N123="základná",J123,0)</f>
        <v>0</v>
      </c>
      <c r="BF123" s="138">
        <f>IF(N123="znížená",J123,0)</f>
        <v>0</v>
      </c>
      <c r="BG123" s="138">
        <f>IF(N123="zákl. prenesená",J123,0)</f>
        <v>0</v>
      </c>
      <c r="BH123" s="138">
        <f>IF(N123="zníž. prenesená",J123,0)</f>
        <v>0</v>
      </c>
      <c r="BI123" s="138">
        <f>IF(N123="nulová",J123,0)</f>
        <v>0</v>
      </c>
      <c r="BJ123" s="128" t="s">
        <v>88</v>
      </c>
      <c r="BK123" s="166">
        <f>ROUND(I123*H123,3)</f>
        <v>0</v>
      </c>
      <c r="BL123" s="128" t="s">
        <v>197</v>
      </c>
      <c r="BM123" s="128" t="s">
        <v>201</v>
      </c>
    </row>
    <row r="124" spans="2:65" s="26" customFormat="1" ht="16.5" customHeight="1" x14ac:dyDescent="0.25">
      <c r="B124" s="169"/>
      <c r="C124" s="170">
        <v>22</v>
      </c>
      <c r="D124" s="170" t="s">
        <v>129</v>
      </c>
      <c r="E124" s="171" t="s">
        <v>465</v>
      </c>
      <c r="F124" s="172" t="s">
        <v>466</v>
      </c>
      <c r="G124" s="173" t="s">
        <v>136</v>
      </c>
      <c r="H124" s="174">
        <v>733</v>
      </c>
      <c r="I124" s="174"/>
      <c r="J124" s="174">
        <f>ROUND(I124*H124,3)</f>
        <v>0</v>
      </c>
      <c r="K124" s="172" t="s">
        <v>9</v>
      </c>
      <c r="L124" s="132"/>
      <c r="M124" s="175" t="s">
        <v>9</v>
      </c>
      <c r="N124" s="176" t="s">
        <v>27</v>
      </c>
      <c r="O124" s="177">
        <v>0.435</v>
      </c>
      <c r="P124" s="177">
        <f>O124*H124</f>
        <v>318.85500000000002</v>
      </c>
      <c r="Q124" s="177">
        <v>9.8999999999999999E-4</v>
      </c>
      <c r="R124" s="177">
        <f>Q124*H124</f>
        <v>0.72567000000000004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467</v>
      </c>
    </row>
    <row r="125" spans="2:65" s="26" customFormat="1" ht="16.5" customHeight="1" x14ac:dyDescent="0.25">
      <c r="B125" s="169"/>
      <c r="C125" s="170">
        <v>23</v>
      </c>
      <c r="D125" s="170" t="s">
        <v>129</v>
      </c>
      <c r="E125" s="171" t="s">
        <v>210</v>
      </c>
      <c r="F125" s="172" t="s">
        <v>211</v>
      </c>
      <c r="G125" s="173" t="s">
        <v>136</v>
      </c>
      <c r="H125" s="174">
        <v>851</v>
      </c>
      <c r="I125" s="174"/>
      <c r="J125" s="174">
        <f>ROUND(I125*H125,3)</f>
        <v>0</v>
      </c>
      <c r="K125" s="172" t="s">
        <v>9</v>
      </c>
      <c r="L125" s="132"/>
      <c r="M125" s="175" t="s">
        <v>9</v>
      </c>
      <c r="N125" s="176" t="s">
        <v>27</v>
      </c>
      <c r="O125" s="177">
        <v>7.0999999999999994E-2</v>
      </c>
      <c r="P125" s="177">
        <f>O125*H125</f>
        <v>60.420999999999992</v>
      </c>
      <c r="Q125" s="177">
        <v>0</v>
      </c>
      <c r="R125" s="177">
        <f>Q125*H125</f>
        <v>0</v>
      </c>
      <c r="S125" s="177">
        <v>1.6E-2</v>
      </c>
      <c r="T125" s="178">
        <f>S125*H125</f>
        <v>13.616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212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468</v>
      </c>
      <c r="H126" s="166">
        <v>851</v>
      </c>
      <c r="L126" s="132"/>
      <c r="M126" s="180"/>
      <c r="T126" s="181"/>
      <c r="V126" s="282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>
        <v>24</v>
      </c>
      <c r="D127" s="170" t="s">
        <v>129</v>
      </c>
      <c r="E127" s="171" t="s">
        <v>214</v>
      </c>
      <c r="F127" s="172" t="s">
        <v>416</v>
      </c>
      <c r="G127" s="173" t="s">
        <v>136</v>
      </c>
      <c r="H127" s="174">
        <f>H129</f>
        <v>733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8.0000000000000002E-3</v>
      </c>
      <c r="P127" s="177">
        <f>O127*H127</f>
        <v>5.8639999999999999</v>
      </c>
      <c r="Q127" s="177">
        <v>0</v>
      </c>
      <c r="R127" s="177">
        <f>Q127*H127</f>
        <v>0</v>
      </c>
      <c r="S127" s="177">
        <v>6.0000000000000001E-3</v>
      </c>
      <c r="T127" s="178">
        <f>S127*H127</f>
        <v>4.3979999999999997</v>
      </c>
      <c r="V127" s="282"/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216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469</v>
      </c>
      <c r="H128" s="166">
        <v>733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218</v>
      </c>
      <c r="H129" s="166">
        <f>SUM(H128:H128)</f>
        <v>733</v>
      </c>
      <c r="L129" s="132"/>
      <c r="M129" s="180"/>
      <c r="T129" s="181"/>
      <c r="AT129" s="128" t="s">
        <v>161</v>
      </c>
      <c r="AU129" s="128" t="s">
        <v>88</v>
      </c>
      <c r="AV129" s="26" t="s">
        <v>132</v>
      </c>
      <c r="AW129" s="26" t="s">
        <v>163</v>
      </c>
      <c r="AX129" s="26" t="s">
        <v>42</v>
      </c>
      <c r="AY129" s="128" t="s">
        <v>126</v>
      </c>
    </row>
    <row r="130" spans="2:65" s="26" customFormat="1" ht="16.5" customHeight="1" x14ac:dyDescent="0.25">
      <c r="B130" s="169"/>
      <c r="C130" s="170">
        <v>25</v>
      </c>
      <c r="D130" s="170" t="s">
        <v>129</v>
      </c>
      <c r="E130" s="171" t="s">
        <v>219</v>
      </c>
      <c r="F130" s="172" t="s">
        <v>220</v>
      </c>
      <c r="G130" s="173" t="s">
        <v>136</v>
      </c>
      <c r="H130" s="174">
        <f>733*0.6</f>
        <v>439.8</v>
      </c>
      <c r="I130" s="174"/>
      <c r="J130" s="174">
        <f>ROUND(I130*H130,3)</f>
        <v>0</v>
      </c>
      <c r="K130" s="172" t="s">
        <v>9</v>
      </c>
      <c r="L130" s="132"/>
      <c r="M130" s="175" t="s">
        <v>9</v>
      </c>
      <c r="N130" s="176" t="s">
        <v>27</v>
      </c>
      <c r="O130" s="177">
        <v>5.1999999999999998E-2</v>
      </c>
      <c r="P130" s="177">
        <f>O130*H130</f>
        <v>22.869599999999998</v>
      </c>
      <c r="Q130" s="177">
        <v>0</v>
      </c>
      <c r="R130" s="177">
        <f>Q130*H130</f>
        <v>0</v>
      </c>
      <c r="S130" s="177">
        <v>2E-3</v>
      </c>
      <c r="T130" s="178">
        <f>S130*H130</f>
        <v>0.87960000000000005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221</v>
      </c>
    </row>
    <row r="131" spans="2:65" s="26" customFormat="1" ht="16.5" customHeight="1" x14ac:dyDescent="0.25">
      <c r="B131" s="169"/>
      <c r="C131" s="170">
        <v>26</v>
      </c>
      <c r="D131" s="170" t="s">
        <v>129</v>
      </c>
      <c r="E131" s="171" t="s">
        <v>219</v>
      </c>
      <c r="F131" s="172" t="s">
        <v>222</v>
      </c>
      <c r="G131" s="173" t="s">
        <v>136</v>
      </c>
      <c r="H131" s="174">
        <f>H125</f>
        <v>851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 t="s">
        <v>27</v>
      </c>
      <c r="O131" s="177">
        <v>5.1999999999999998E-2</v>
      </c>
      <c r="P131" s="177">
        <f>O131*H131</f>
        <v>44.251999999999995</v>
      </c>
      <c r="Q131" s="177">
        <v>0</v>
      </c>
      <c r="R131" s="177">
        <f>Q131*H131</f>
        <v>0</v>
      </c>
      <c r="S131" s="177">
        <v>2E-3</v>
      </c>
      <c r="T131" s="178">
        <f>S131*H131</f>
        <v>1.702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221</v>
      </c>
    </row>
    <row r="132" spans="2:65" s="158" customFormat="1" ht="22.9" customHeight="1" x14ac:dyDescent="0.2">
      <c r="B132" s="157"/>
      <c r="D132" s="159" t="s">
        <v>123</v>
      </c>
      <c r="E132" s="167" t="s">
        <v>223</v>
      </c>
      <c r="F132" s="167" t="s">
        <v>224</v>
      </c>
      <c r="J132" s="168">
        <f>SUM(J133:J135)</f>
        <v>0</v>
      </c>
      <c r="L132" s="182"/>
      <c r="M132" s="162"/>
      <c r="P132" s="163">
        <f>SUM(P133:P135)</f>
        <v>33.812439999999995</v>
      </c>
      <c r="R132" s="163">
        <f>SUM(R133:R135)</f>
        <v>1.2800000000000001E-2</v>
      </c>
      <c r="T132" s="164">
        <f>SUM(T133:T135)</f>
        <v>1.7579</v>
      </c>
      <c r="AR132" s="159" t="s">
        <v>88</v>
      </c>
      <c r="AT132" s="165" t="s">
        <v>123</v>
      </c>
      <c r="AU132" s="165" t="s">
        <v>42</v>
      </c>
      <c r="AY132" s="159" t="s">
        <v>126</v>
      </c>
      <c r="BK132" s="166">
        <f>SUM(BK133:BK135)</f>
        <v>0</v>
      </c>
    </row>
    <row r="133" spans="2:65" s="26" customFormat="1" ht="16.5" customHeight="1" x14ac:dyDescent="0.25">
      <c r="B133" s="169"/>
      <c r="C133" s="170">
        <v>27</v>
      </c>
      <c r="D133" s="170" t="s">
        <v>129</v>
      </c>
      <c r="E133" s="171" t="s">
        <v>232</v>
      </c>
      <c r="F133" s="172" t="s">
        <v>233</v>
      </c>
      <c r="G133" s="173" t="s">
        <v>234</v>
      </c>
      <c r="H133" s="174">
        <v>71</v>
      </c>
      <c r="I133" s="174"/>
      <c r="J133" s="174">
        <f>ROUND(I133*H133,3)</f>
        <v>0</v>
      </c>
      <c r="K133" s="172" t="s">
        <v>9</v>
      </c>
      <c r="L133" s="132"/>
      <c r="M133" s="175" t="s">
        <v>9</v>
      </c>
      <c r="N133" s="176" t="s">
        <v>27</v>
      </c>
      <c r="O133" s="177">
        <v>0.29299999999999998</v>
      </c>
      <c r="P133" s="177">
        <f>O133*H133</f>
        <v>20.802999999999997</v>
      </c>
      <c r="Q133" s="177">
        <v>0</v>
      </c>
      <c r="R133" s="177">
        <f>Q133*H133</f>
        <v>0</v>
      </c>
      <c r="S133" s="177">
        <v>2.0500000000000001E-2</v>
      </c>
      <c r="T133" s="178">
        <f>S133*H133</f>
        <v>1.4555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235</v>
      </c>
    </row>
    <row r="134" spans="2:65" s="26" customFormat="1" ht="16.5" customHeight="1" x14ac:dyDescent="0.25">
      <c r="B134" s="169"/>
      <c r="C134" s="170">
        <v>28</v>
      </c>
      <c r="D134" s="170" t="s">
        <v>129</v>
      </c>
      <c r="E134" s="171" t="s">
        <v>228</v>
      </c>
      <c r="F134" s="172" t="s">
        <v>229</v>
      </c>
      <c r="G134" s="173" t="s">
        <v>230</v>
      </c>
      <c r="H134" s="174">
        <v>120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7.4999999999999997E-2</v>
      </c>
      <c r="P134" s="177">
        <f>O134*H134</f>
        <v>9</v>
      </c>
      <c r="Q134" s="177">
        <v>0</v>
      </c>
      <c r="R134" s="177">
        <f>Q134*H134</f>
        <v>0</v>
      </c>
      <c r="S134" s="177">
        <v>2.5200000000000001E-3</v>
      </c>
      <c r="T134" s="178">
        <f>S134*H134</f>
        <v>0.3024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231</v>
      </c>
    </row>
    <row r="135" spans="2:65" s="26" customFormat="1" ht="16.5" customHeight="1" x14ac:dyDescent="0.25">
      <c r="B135" s="169"/>
      <c r="C135" s="170">
        <v>29</v>
      </c>
      <c r="D135" s="170" t="s">
        <v>129</v>
      </c>
      <c r="E135" s="171" t="s">
        <v>239</v>
      </c>
      <c r="F135" s="172" t="s">
        <v>240</v>
      </c>
      <c r="G135" s="173" t="s">
        <v>205</v>
      </c>
      <c r="H135" s="174">
        <v>8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0.50117999999999996</v>
      </c>
      <c r="P135" s="177">
        <f>O135*H135</f>
        <v>4.0094399999999997</v>
      </c>
      <c r="Q135" s="177">
        <v>1.6000000000000001E-3</v>
      </c>
      <c r="R135" s="177">
        <f>Q135*H135</f>
        <v>1.2800000000000001E-2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241</v>
      </c>
    </row>
    <row r="136" spans="2:65" s="26" customFormat="1" ht="6.95" customHeight="1" x14ac:dyDescent="0.25">
      <c r="B136" s="141"/>
      <c r="C136" s="36"/>
      <c r="D136" s="36"/>
      <c r="E136" s="36"/>
      <c r="F136" s="36"/>
      <c r="G136" s="36"/>
      <c r="H136" s="36"/>
      <c r="I136" s="36"/>
      <c r="J136" s="36"/>
      <c r="K136" s="36"/>
      <c r="L136" s="132"/>
    </row>
  </sheetData>
  <mergeCells count="10">
    <mergeCell ref="E50:H50"/>
    <mergeCell ref="E76:H76"/>
    <mergeCell ref="E78:H78"/>
    <mergeCell ref="V126:V127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3"/>
  <sheetViews>
    <sheetView topLeftCell="A82" workbookViewId="0">
      <selection activeCell="I92" sqref="I92:I152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53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486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ROUND((SUM(BE89:BE144)),  2)</f>
        <v>0</v>
      </c>
      <c r="I33" s="139">
        <v>0.2</v>
      </c>
      <c r="J33" s="138">
        <f>ROUND(((SUM(BE89:BE144))*I33),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ROUND((SUM(BF89:BF144)),  2)</f>
        <v>0</v>
      </c>
      <c r="I34" s="139">
        <v>0.2</v>
      </c>
      <c r="J34" s="138">
        <f>ROUND(((SUM(BF89:BF144))*I34),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ROUND((SUM(BG89:BG144)),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ROUND((SUM(BH89:BH144)),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ROUND((SUM(BI89:BI144)),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">
        <v>403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C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J98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J100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J101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J118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J123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J135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J142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J143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470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J90+J100+J142+J146</f>
        <v>0</v>
      </c>
      <c r="L89" s="132"/>
      <c r="M89" s="153"/>
      <c r="N89" s="134"/>
      <c r="O89" s="134"/>
      <c r="P89" s="154">
        <f>P90+P100+P142</f>
        <v>2381.9487816999999</v>
      </c>
      <c r="Q89" s="134"/>
      <c r="R89" s="154">
        <f>R90+R100+R142</f>
        <v>110.29832808625</v>
      </c>
      <c r="S89" s="134"/>
      <c r="T89" s="155">
        <f>T90+T100+T142</f>
        <v>0</v>
      </c>
      <c r="AT89" s="128" t="s">
        <v>123</v>
      </c>
      <c r="AU89" s="128" t="s">
        <v>101</v>
      </c>
      <c r="BK89" s="156">
        <f>BK90+BK100+BK142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J91+J98</f>
        <v>0</v>
      </c>
      <c r="L90" s="157"/>
      <c r="M90" s="162"/>
      <c r="P90" s="163">
        <f>P91+P98</f>
        <v>516.12048600000003</v>
      </c>
      <c r="R90" s="163">
        <f>R91+R98</f>
        <v>77.105832620000001</v>
      </c>
      <c r="T90" s="164">
        <f>T91+T98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BK91+BK98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SUM(J92:J96)</f>
        <v>0</v>
      </c>
      <c r="L91" s="157"/>
      <c r="M91" s="162"/>
      <c r="P91" s="163">
        <f>SUM(P92:P97)</f>
        <v>504.64990599999999</v>
      </c>
      <c r="R91" s="163">
        <f>SUM(R92:R97)</f>
        <v>77.105832620000001</v>
      </c>
      <c r="T91" s="164">
        <f>SUM(T92:T97)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SUM(BK92:BK97)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28.4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9.0312000000000001</v>
      </c>
      <c r="Q92" s="177">
        <v>4.0899999999999999E-3</v>
      </c>
      <c r="R92" s="177">
        <f>Q92*H92</f>
        <v>0.116156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22.5" customHeight="1" x14ac:dyDescent="0.25">
      <c r="B93" s="169"/>
      <c r="C93" s="170" t="s">
        <v>88</v>
      </c>
      <c r="D93" s="170" t="s">
        <v>129</v>
      </c>
      <c r="E93" s="171" t="s">
        <v>258</v>
      </c>
      <c r="F93" s="172" t="s">
        <v>471</v>
      </c>
      <c r="G93" s="173" t="s">
        <v>136</v>
      </c>
      <c r="H93" s="174">
        <v>733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0.34309000000000001</v>
      </c>
      <c r="P93" s="177">
        <f>O93*H93</f>
        <v>251.48497</v>
      </c>
      <c r="Q93" s="177">
        <v>4.4000000000000002E-4</v>
      </c>
      <c r="R93" s="177">
        <f>Q93*H93</f>
        <v>0.32252000000000003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260</v>
      </c>
    </row>
    <row r="94" spans="2:65" s="26" customFormat="1" ht="16.5" customHeight="1" x14ac:dyDescent="0.25">
      <c r="B94" s="169"/>
      <c r="C94" s="187" t="s">
        <v>140</v>
      </c>
      <c r="D94" s="187" t="s">
        <v>261</v>
      </c>
      <c r="E94" s="188" t="s">
        <v>262</v>
      </c>
      <c r="F94" s="189" t="s">
        <v>472</v>
      </c>
      <c r="G94" s="190" t="s">
        <v>205</v>
      </c>
      <c r="H94" s="191">
        <f>H93/0.16</f>
        <v>4581.25</v>
      </c>
      <c r="I94" s="191"/>
      <c r="J94" s="191">
        <f>ROUND(I94*H94,3)</f>
        <v>0</v>
      </c>
      <c r="K94" s="189" t="s">
        <v>156</v>
      </c>
      <c r="L94" s="199"/>
      <c r="M94" s="200" t="s">
        <v>9</v>
      </c>
      <c r="N94" s="201" t="s">
        <v>27</v>
      </c>
      <c r="O94" s="177">
        <v>0</v>
      </c>
      <c r="P94" s="177">
        <f>O94*H94</f>
        <v>0</v>
      </c>
      <c r="Q94" s="177">
        <v>1.4999999999999999E-2</v>
      </c>
      <c r="R94" s="177">
        <f>Q94*H94</f>
        <v>68.71875</v>
      </c>
      <c r="S94" s="177">
        <v>0</v>
      </c>
      <c r="T94" s="178">
        <f>S94*H94</f>
        <v>0</v>
      </c>
      <c r="AR94" s="128" t="s">
        <v>264</v>
      </c>
      <c r="AT94" s="128" t="s">
        <v>261</v>
      </c>
      <c r="AU94" s="128" t="s">
        <v>88</v>
      </c>
      <c r="AY94" s="128" t="s">
        <v>126</v>
      </c>
      <c r="BE94" s="138">
        <f>IF(N94="základná",J94,0)</f>
        <v>0</v>
      </c>
      <c r="BF94" s="138">
        <f>IF(N94="znížená",J94,0)</f>
        <v>0</v>
      </c>
      <c r="BG94" s="138">
        <f>IF(N94="zákl. prenesená",J94,0)</f>
        <v>0</v>
      </c>
      <c r="BH94" s="138">
        <f>IF(N94="zníž. prenesená",J94,0)</f>
        <v>0</v>
      </c>
      <c r="BI94" s="138">
        <f>IF(N94="nulová",J94,0)</f>
        <v>0</v>
      </c>
      <c r="BJ94" s="128" t="s">
        <v>88</v>
      </c>
      <c r="BK94" s="166">
        <f>ROUND(I94*H94,3)</f>
        <v>0</v>
      </c>
      <c r="BL94" s="128" t="s">
        <v>132</v>
      </c>
      <c r="BM94" s="128" t="s">
        <v>265</v>
      </c>
    </row>
    <row r="95" spans="2:65" s="26" customFormat="1" ht="16.5" customHeight="1" x14ac:dyDescent="0.25">
      <c r="B95" s="169"/>
      <c r="C95" s="187" t="s">
        <v>132</v>
      </c>
      <c r="D95" s="187" t="s">
        <v>261</v>
      </c>
      <c r="E95" s="188" t="s">
        <v>268</v>
      </c>
      <c r="F95" s="189" t="s">
        <v>269</v>
      </c>
      <c r="G95" s="190" t="s">
        <v>205</v>
      </c>
      <c r="H95" s="191">
        <f>H93*6.25</f>
        <v>4581.25</v>
      </c>
      <c r="I95" s="191"/>
      <c r="J95" s="191">
        <f>ROUND(I95*H95,3)</f>
        <v>0</v>
      </c>
      <c r="K95" s="189" t="s">
        <v>156</v>
      </c>
      <c r="L95" s="199"/>
      <c r="M95" s="200" t="s">
        <v>9</v>
      </c>
      <c r="N95" s="201" t="s">
        <v>27</v>
      </c>
      <c r="O95" s="177">
        <v>0</v>
      </c>
      <c r="P95" s="177">
        <f>O95*H95</f>
        <v>0</v>
      </c>
      <c r="Q95" s="177">
        <v>6.9999999999999994E-5</v>
      </c>
      <c r="R95" s="177">
        <f>Q95*H95</f>
        <v>0.32068749999999996</v>
      </c>
      <c r="S95" s="177">
        <v>0</v>
      </c>
      <c r="T95" s="178">
        <f>S95*H95</f>
        <v>0</v>
      </c>
      <c r="AR95" s="128" t="s">
        <v>264</v>
      </c>
      <c r="AT95" s="128" t="s">
        <v>261</v>
      </c>
      <c r="AU95" s="128" t="s">
        <v>88</v>
      </c>
      <c r="AY95" s="128" t="s">
        <v>126</v>
      </c>
      <c r="BE95" s="138">
        <f>IF(N95="základná",J95,0)</f>
        <v>0</v>
      </c>
      <c r="BF95" s="138">
        <f>IF(N95="znížená",J95,0)</f>
        <v>0</v>
      </c>
      <c r="BG95" s="138">
        <f>IF(N95="zákl. prenesená",J95,0)</f>
        <v>0</v>
      </c>
      <c r="BH95" s="138">
        <f>IF(N95="zníž. prenesená",J95,0)</f>
        <v>0</v>
      </c>
      <c r="BI95" s="138">
        <f>IF(N95="nulová",J95,0)</f>
        <v>0</v>
      </c>
      <c r="BJ95" s="128" t="s">
        <v>88</v>
      </c>
      <c r="BK95" s="166">
        <f>ROUND(I95*H95,3)</f>
        <v>0</v>
      </c>
      <c r="BL95" s="128" t="s">
        <v>132</v>
      </c>
      <c r="BM95" s="128" t="s">
        <v>270</v>
      </c>
    </row>
    <row r="96" spans="2:65" s="26" customFormat="1" ht="16.5" customHeight="1" x14ac:dyDescent="0.25">
      <c r="B96" s="169"/>
      <c r="C96" s="170" t="s">
        <v>422</v>
      </c>
      <c r="D96" s="170" t="s">
        <v>129</v>
      </c>
      <c r="E96" s="171" t="s">
        <v>272</v>
      </c>
      <c r="F96" s="172" t="s">
        <v>423</v>
      </c>
      <c r="G96" s="173" t="s">
        <v>136</v>
      </c>
      <c r="H96" s="174">
        <f>H107*0.7</f>
        <v>1168.104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0.20899999999999999</v>
      </c>
      <c r="P96" s="177">
        <f>O96*H96</f>
        <v>244.133736</v>
      </c>
      <c r="Q96" s="177">
        <v>6.5300000000000002E-3</v>
      </c>
      <c r="R96" s="177">
        <f>Q96*H96</f>
        <v>7.627719120000001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274</v>
      </c>
    </row>
    <row r="97" spans="2:65" s="26" customFormat="1" x14ac:dyDescent="0.25">
      <c r="B97" s="132"/>
      <c r="D97" s="179" t="s">
        <v>161</v>
      </c>
      <c r="E97" s="128" t="s">
        <v>9</v>
      </c>
      <c r="F97" s="143" t="s">
        <v>275</v>
      </c>
      <c r="H97" s="166"/>
      <c r="L97" s="132"/>
      <c r="M97" s="180"/>
      <c r="T97" s="181"/>
      <c r="AT97" s="128" t="s">
        <v>161</v>
      </c>
      <c r="AU97" s="128" t="s">
        <v>88</v>
      </c>
      <c r="AV97" s="26" t="s">
        <v>88</v>
      </c>
      <c r="AW97" s="26" t="s">
        <v>163</v>
      </c>
      <c r="AX97" s="26" t="s">
        <v>42</v>
      </c>
      <c r="AY97" s="128" t="s">
        <v>126</v>
      </c>
    </row>
    <row r="98" spans="2:65" s="158" customFormat="1" ht="22.9" customHeight="1" x14ac:dyDescent="0.2">
      <c r="B98" s="157"/>
      <c r="D98" s="159" t="s">
        <v>123</v>
      </c>
      <c r="E98" s="167" t="s">
        <v>276</v>
      </c>
      <c r="F98" s="167" t="s">
        <v>277</v>
      </c>
      <c r="J98" s="168">
        <f>SUM(J99)</f>
        <v>0</v>
      </c>
      <c r="L98" s="157"/>
      <c r="M98" s="162"/>
      <c r="P98" s="163">
        <f>P99</f>
        <v>11.470580000000002</v>
      </c>
      <c r="R98" s="163">
        <f>R99</f>
        <v>0</v>
      </c>
      <c r="T98" s="164">
        <f>T99</f>
        <v>0</v>
      </c>
      <c r="AR98" s="159" t="s">
        <v>42</v>
      </c>
      <c r="AT98" s="165" t="s">
        <v>123</v>
      </c>
      <c r="AU98" s="165" t="s">
        <v>42</v>
      </c>
      <c r="AY98" s="159" t="s">
        <v>126</v>
      </c>
      <c r="BK98" s="166">
        <f>BK99</f>
        <v>0</v>
      </c>
    </row>
    <row r="99" spans="2:65" s="26" customFormat="1" ht="16.5" customHeight="1" x14ac:dyDescent="0.25">
      <c r="B99" s="169"/>
      <c r="C99" s="170" t="s">
        <v>127</v>
      </c>
      <c r="D99" s="170" t="s">
        <v>129</v>
      </c>
      <c r="E99" s="171" t="s">
        <v>278</v>
      </c>
      <c r="F99" s="172" t="s">
        <v>279</v>
      </c>
      <c r="G99" s="173" t="s">
        <v>146</v>
      </c>
      <c r="H99" s="174">
        <v>33.737000000000002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0.34</v>
      </c>
      <c r="P99" s="177">
        <f>O99*H99</f>
        <v>11.470580000000002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132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132</v>
      </c>
      <c r="BM99" s="128" t="s">
        <v>280</v>
      </c>
    </row>
    <row r="100" spans="2:65" s="158" customFormat="1" ht="25.9" customHeight="1" x14ac:dyDescent="0.2">
      <c r="B100" s="157"/>
      <c r="D100" s="159" t="s">
        <v>123</v>
      </c>
      <c r="E100" s="160" t="s">
        <v>191</v>
      </c>
      <c r="F100" s="160" t="s">
        <v>192</v>
      </c>
      <c r="J100" s="161">
        <f>J101+J118+J123+J135+J138</f>
        <v>0</v>
      </c>
      <c r="L100" s="157"/>
      <c r="M100" s="162"/>
      <c r="P100" s="163">
        <f>P101+P118+P123+P135</f>
        <v>1865.6782956999998</v>
      </c>
      <c r="R100" s="163">
        <f>R101+R118+R123+R135</f>
        <v>33.192495466250001</v>
      </c>
      <c r="T100" s="164">
        <f>T101+T118+T123+T135</f>
        <v>0</v>
      </c>
      <c r="AR100" s="159" t="s">
        <v>88</v>
      </c>
      <c r="AT100" s="165" t="s">
        <v>123</v>
      </c>
      <c r="AU100" s="165" t="s">
        <v>39</v>
      </c>
      <c r="AY100" s="159" t="s">
        <v>126</v>
      </c>
      <c r="BK100" s="166">
        <f>BK101+BK118+BK123+BK135</f>
        <v>0</v>
      </c>
    </row>
    <row r="101" spans="2:65" s="158" customFormat="1" ht="22.9" customHeight="1" x14ac:dyDescent="0.2">
      <c r="B101" s="157"/>
      <c r="D101" s="159" t="s">
        <v>123</v>
      </c>
      <c r="E101" s="167" t="s">
        <v>193</v>
      </c>
      <c r="F101" s="167" t="s">
        <v>194</v>
      </c>
      <c r="J101" s="168">
        <f>SUM(J102:J117)</f>
        <v>0</v>
      </c>
      <c r="L101" s="157"/>
      <c r="M101" s="162"/>
      <c r="P101" s="163">
        <f>SUM(P102:P117)</f>
        <v>1032.4506276999998</v>
      </c>
      <c r="R101" s="163">
        <f>SUM(R102:R117)</f>
        <v>26.082190799999999</v>
      </c>
      <c r="T101" s="164">
        <f>SUM(T102:T117)</f>
        <v>0</v>
      </c>
      <c r="AR101" s="159" t="s">
        <v>88</v>
      </c>
      <c r="AT101" s="165" t="s">
        <v>123</v>
      </c>
      <c r="AU101" s="165" t="s">
        <v>42</v>
      </c>
      <c r="AY101" s="159" t="s">
        <v>126</v>
      </c>
      <c r="BK101" s="166">
        <f>SUM(BK102:BK117)</f>
        <v>0</v>
      </c>
    </row>
    <row r="102" spans="2:65" s="26" customFormat="1" ht="16.5" customHeight="1" x14ac:dyDescent="0.25">
      <c r="B102" s="169"/>
      <c r="C102" s="170" t="s">
        <v>424</v>
      </c>
      <c r="D102" s="170" t="s">
        <v>129</v>
      </c>
      <c r="E102" s="171" t="s">
        <v>281</v>
      </c>
      <c r="F102" s="172" t="s">
        <v>282</v>
      </c>
      <c r="G102" s="173" t="s">
        <v>136</v>
      </c>
      <c r="H102" s="174">
        <f>H107+H108</f>
        <v>1940.67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4.3029999999999999E-2</v>
      </c>
      <c r="P102" s="177">
        <f>O102*H102</f>
        <v>83.507030099999994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197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197</v>
      </c>
      <c r="BM102" s="128" t="s">
        <v>283</v>
      </c>
    </row>
    <row r="103" spans="2:65" s="26" customFormat="1" ht="16.5" customHeight="1" x14ac:dyDescent="0.25">
      <c r="B103" s="169"/>
      <c r="C103" s="187" t="s">
        <v>264</v>
      </c>
      <c r="D103" s="187" t="s">
        <v>261</v>
      </c>
      <c r="E103" s="188" t="s">
        <v>284</v>
      </c>
      <c r="F103" s="189" t="s">
        <v>285</v>
      </c>
      <c r="G103" s="190" t="s">
        <v>146</v>
      </c>
      <c r="H103" s="191">
        <f>H104</f>
        <v>1.4555025000000001</v>
      </c>
      <c r="I103" s="191"/>
      <c r="J103" s="191">
        <f>ROUND(I103*H103,3)</f>
        <v>0</v>
      </c>
      <c r="K103" s="189" t="s">
        <v>156</v>
      </c>
      <c r="L103" s="199"/>
      <c r="M103" s="200" t="s">
        <v>9</v>
      </c>
      <c r="N103" s="201" t="s">
        <v>27</v>
      </c>
      <c r="O103" s="177">
        <v>0</v>
      </c>
      <c r="P103" s="177">
        <f>O103*H103</f>
        <v>0</v>
      </c>
      <c r="Q103" s="177">
        <v>1</v>
      </c>
      <c r="R103" s="177">
        <f>Q103*H103</f>
        <v>1.4555025000000001</v>
      </c>
      <c r="S103" s="177">
        <v>0</v>
      </c>
      <c r="T103" s="178">
        <f>S103*H103</f>
        <v>0</v>
      </c>
      <c r="AR103" s="128" t="s">
        <v>286</v>
      </c>
      <c r="AT103" s="128" t="s">
        <v>261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287</v>
      </c>
    </row>
    <row r="104" spans="2:65" s="26" customFormat="1" x14ac:dyDescent="0.25">
      <c r="B104" s="132"/>
      <c r="D104" s="179" t="s">
        <v>161</v>
      </c>
      <c r="F104" s="143" t="s">
        <v>473</v>
      </c>
      <c r="H104" s="166">
        <f>H102*0.00075</f>
        <v>1.4555025000000001</v>
      </c>
      <c r="L104" s="132"/>
      <c r="M104" s="180"/>
      <c r="T104" s="181"/>
      <c r="AT104" s="128" t="s">
        <v>161</v>
      </c>
      <c r="AU104" s="128" t="s">
        <v>88</v>
      </c>
      <c r="AV104" s="26" t="s">
        <v>88</v>
      </c>
      <c r="AW104" s="26" t="s">
        <v>1</v>
      </c>
      <c r="AX104" s="26" t="s">
        <v>42</v>
      </c>
      <c r="AY104" s="128" t="s">
        <v>126</v>
      </c>
    </row>
    <row r="105" spans="2:65" s="26" customFormat="1" ht="22.5" customHeight="1" x14ac:dyDescent="0.25">
      <c r="B105" s="169"/>
      <c r="C105" s="170" t="s">
        <v>138</v>
      </c>
      <c r="D105" s="170" t="s">
        <v>129</v>
      </c>
      <c r="E105" s="171" t="s">
        <v>289</v>
      </c>
      <c r="F105" s="172" t="s">
        <v>290</v>
      </c>
      <c r="G105" s="173" t="s">
        <v>136</v>
      </c>
      <c r="H105" s="174">
        <v>465.68</v>
      </c>
      <c r="I105" s="174"/>
      <c r="J105" s="174">
        <f>ROUND(I105*H105,3)</f>
        <v>0</v>
      </c>
      <c r="K105" s="172" t="s">
        <v>156</v>
      </c>
      <c r="L105" s="132"/>
      <c r="M105" s="175" t="s">
        <v>9</v>
      </c>
      <c r="N105" s="176" t="s">
        <v>27</v>
      </c>
      <c r="O105" s="177">
        <v>0.17499999999999999</v>
      </c>
      <c r="P105" s="177">
        <f>O105*H105</f>
        <v>81.494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197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291</v>
      </c>
    </row>
    <row r="106" spans="2:65" s="26" customFormat="1" x14ac:dyDescent="0.25">
      <c r="B106" s="132"/>
      <c r="D106" s="179" t="s">
        <v>161</v>
      </c>
      <c r="E106" s="128" t="s">
        <v>9</v>
      </c>
      <c r="F106" s="143" t="s">
        <v>474</v>
      </c>
      <c r="H106" s="166">
        <v>465.68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163</v>
      </c>
      <c r="AX106" s="26" t="s">
        <v>42</v>
      </c>
      <c r="AY106" s="128" t="s">
        <v>126</v>
      </c>
    </row>
    <row r="107" spans="2:65" s="26" customFormat="1" ht="22.5" customHeight="1" x14ac:dyDescent="0.25">
      <c r="B107" s="169"/>
      <c r="C107" s="170" t="s">
        <v>427</v>
      </c>
      <c r="D107" s="170" t="s">
        <v>129</v>
      </c>
      <c r="E107" s="171" t="s">
        <v>293</v>
      </c>
      <c r="F107" s="172" t="s">
        <v>294</v>
      </c>
      <c r="G107" s="173" t="s">
        <v>136</v>
      </c>
      <c r="H107" s="174">
        <f>1636*1.02</f>
        <v>1668.72</v>
      </c>
      <c r="I107" s="174"/>
      <c r="J107" s="174">
        <f>ROUND(I107*H107,3)</f>
        <v>0</v>
      </c>
      <c r="K107" s="172" t="s">
        <v>156</v>
      </c>
      <c r="L107" s="132"/>
      <c r="M107" s="175" t="s">
        <v>9</v>
      </c>
      <c r="N107" s="176" t="s">
        <v>27</v>
      </c>
      <c r="O107" s="177">
        <v>0.43458000000000002</v>
      </c>
      <c r="P107" s="177">
        <f>O107*H107</f>
        <v>725.19233760000009</v>
      </c>
      <c r="Q107" s="177">
        <v>9.8999999999999999E-4</v>
      </c>
      <c r="R107" s="177">
        <f>Q107*H107</f>
        <v>1.6520328</v>
      </c>
      <c r="S107" s="177">
        <v>0</v>
      </c>
      <c r="T107" s="178">
        <f>S107*H107</f>
        <v>0</v>
      </c>
      <c r="AR107" s="128" t="s">
        <v>197</v>
      </c>
      <c r="AT107" s="128" t="s">
        <v>129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295</v>
      </c>
    </row>
    <row r="108" spans="2:65" s="26" customFormat="1" ht="22.5" customHeight="1" x14ac:dyDescent="0.25">
      <c r="B108" s="169"/>
      <c r="C108" s="170" t="s">
        <v>428</v>
      </c>
      <c r="D108" s="170" t="s">
        <v>129</v>
      </c>
      <c r="E108" s="171" t="s">
        <v>296</v>
      </c>
      <c r="F108" s="172" t="s">
        <v>297</v>
      </c>
      <c r="G108" s="173" t="s">
        <v>136</v>
      </c>
      <c r="H108" s="174">
        <f>259*1.05</f>
        <v>271.95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0.435</v>
      </c>
      <c r="P108" s="177">
        <f>O108*H108</f>
        <v>118.29825</v>
      </c>
      <c r="Q108" s="177">
        <v>9.8999999999999999E-4</v>
      </c>
      <c r="R108" s="177">
        <f>Q108*H108</f>
        <v>0.26923049999999998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298</v>
      </c>
    </row>
    <row r="109" spans="2:65" s="26" customFormat="1" ht="16.5" customHeight="1" x14ac:dyDescent="0.25">
      <c r="B109" s="169"/>
      <c r="C109" s="187" t="s">
        <v>429</v>
      </c>
      <c r="D109" s="187" t="s">
        <v>261</v>
      </c>
      <c r="E109" s="188" t="s">
        <v>299</v>
      </c>
      <c r="F109" s="189" t="s">
        <v>300</v>
      </c>
      <c r="G109" s="190" t="s">
        <v>136</v>
      </c>
      <c r="H109" s="191">
        <f>H110</f>
        <v>2231.7705000000001</v>
      </c>
      <c r="I109" s="191"/>
      <c r="J109" s="191">
        <f>ROUND(I109*H109,3)</f>
        <v>0</v>
      </c>
      <c r="K109" s="189" t="s">
        <v>156</v>
      </c>
      <c r="L109" s="199"/>
      <c r="M109" s="200" t="s">
        <v>9</v>
      </c>
      <c r="N109" s="201" t="s">
        <v>27</v>
      </c>
      <c r="O109" s="177">
        <v>0</v>
      </c>
      <c r="P109" s="177">
        <f>O109*H109</f>
        <v>0</v>
      </c>
      <c r="Q109" s="177">
        <v>5.0000000000000001E-3</v>
      </c>
      <c r="R109" s="177">
        <f>Q109*H109</f>
        <v>11.1588525</v>
      </c>
      <c r="S109" s="177">
        <v>0</v>
      </c>
      <c r="T109" s="178">
        <f>S109*H109</f>
        <v>0</v>
      </c>
      <c r="AR109" s="128" t="s">
        <v>286</v>
      </c>
      <c r="AT109" s="128" t="s">
        <v>261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301</v>
      </c>
    </row>
    <row r="110" spans="2:65" s="26" customFormat="1" x14ac:dyDescent="0.25">
      <c r="B110" s="132"/>
      <c r="D110" s="179" t="s">
        <v>161</v>
      </c>
      <c r="F110" s="143" t="s">
        <v>475</v>
      </c>
      <c r="H110" s="166">
        <f>(H107+H108)*1.15</f>
        <v>2231.7705000000001</v>
      </c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</v>
      </c>
      <c r="AX110" s="26" t="s">
        <v>42</v>
      </c>
      <c r="AY110" s="128" t="s">
        <v>126</v>
      </c>
    </row>
    <row r="111" spans="2:65" s="26" customFormat="1" ht="16.5" customHeight="1" x14ac:dyDescent="0.25">
      <c r="B111" s="169"/>
      <c r="C111" s="187" t="s">
        <v>431</v>
      </c>
      <c r="D111" s="187" t="s">
        <v>261</v>
      </c>
      <c r="E111" s="188" t="s">
        <v>303</v>
      </c>
      <c r="F111" s="189" t="s">
        <v>304</v>
      </c>
      <c r="G111" s="190" t="s">
        <v>136</v>
      </c>
      <c r="H111" s="191">
        <f>H109</f>
        <v>2231.7705000000001</v>
      </c>
      <c r="I111" s="191"/>
      <c r="J111" s="191">
        <f>ROUND(I111*H111,3)</f>
        <v>0</v>
      </c>
      <c r="K111" s="189" t="s">
        <v>9</v>
      </c>
      <c r="L111" s="199"/>
      <c r="M111" s="200" t="s">
        <v>9</v>
      </c>
      <c r="N111" s="201" t="s">
        <v>27</v>
      </c>
      <c r="O111" s="177">
        <v>0</v>
      </c>
      <c r="P111" s="177">
        <f>O111*H111</f>
        <v>0</v>
      </c>
      <c r="Q111" s="177">
        <v>5.0000000000000001E-3</v>
      </c>
      <c r="R111" s="177">
        <f>Q111*H111</f>
        <v>11.1588525</v>
      </c>
      <c r="S111" s="177">
        <v>0</v>
      </c>
      <c r="T111" s="178">
        <f>S111*H111</f>
        <v>0</v>
      </c>
      <c r="AR111" s="128" t="s">
        <v>286</v>
      </c>
      <c r="AT111" s="128" t="s">
        <v>261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305</v>
      </c>
    </row>
    <row r="112" spans="2:65" s="26" customFormat="1" ht="16.5" customHeight="1" x14ac:dyDescent="0.25">
      <c r="B112" s="169"/>
      <c r="C112" s="170" t="s">
        <v>432</v>
      </c>
      <c r="D112" s="170" t="s">
        <v>129</v>
      </c>
      <c r="E112" s="171" t="s">
        <v>306</v>
      </c>
      <c r="F112" s="172" t="s">
        <v>307</v>
      </c>
      <c r="G112" s="173" t="s">
        <v>234</v>
      </c>
      <c r="H112" s="174">
        <f>H124+H126+H127+H129+H131</f>
        <v>587.40000000000009</v>
      </c>
      <c r="I112" s="174"/>
      <c r="J112" s="174">
        <f t="shared" ref="J112:J117" si="0">ROUND(I112*H112,3)</f>
        <v>0</v>
      </c>
      <c r="K112" s="172" t="s">
        <v>9</v>
      </c>
      <c r="L112" s="132"/>
      <c r="M112" s="175" t="s">
        <v>9</v>
      </c>
      <c r="N112" s="176" t="s">
        <v>27</v>
      </c>
      <c r="O112" s="177">
        <v>0</v>
      </c>
      <c r="P112" s="177">
        <f t="shared" ref="P112:P117" si="1">O112*H112</f>
        <v>0</v>
      </c>
      <c r="Q112" s="177">
        <v>0</v>
      </c>
      <c r="R112" s="177">
        <f t="shared" ref="R112:R117" si="2">Q112*H112</f>
        <v>0</v>
      </c>
      <c r="S112" s="177">
        <v>0</v>
      </c>
      <c r="T112" s="178">
        <f t="shared" ref="T112:T117" si="3">S112*H112</f>
        <v>0</v>
      </c>
      <c r="AR112" s="128" t="s">
        <v>197</v>
      </c>
      <c r="AT112" s="128" t="s">
        <v>129</v>
      </c>
      <c r="AU112" s="128" t="s">
        <v>88</v>
      </c>
      <c r="AY112" s="128" t="s">
        <v>126</v>
      </c>
      <c r="BE112" s="138">
        <f t="shared" ref="BE112:BE117" si="4">IF(N112="základná",J112,0)</f>
        <v>0</v>
      </c>
      <c r="BF112" s="138">
        <f t="shared" ref="BF112:BF117" si="5">IF(N112="znížená",J112,0)</f>
        <v>0</v>
      </c>
      <c r="BG112" s="138">
        <f t="shared" ref="BG112:BG117" si="6">IF(N112="zákl. prenesená",J112,0)</f>
        <v>0</v>
      </c>
      <c r="BH112" s="138">
        <f t="shared" ref="BH112:BH117" si="7">IF(N112="zníž. prenesená",J112,0)</f>
        <v>0</v>
      </c>
      <c r="BI112" s="138">
        <f t="shared" ref="BI112:BI117" si="8">IF(N112="nulová",J112,0)</f>
        <v>0</v>
      </c>
      <c r="BJ112" s="128" t="s">
        <v>88</v>
      </c>
      <c r="BK112" s="166">
        <f t="shared" ref="BK112:BK117" si="9">ROUND(I112*H112,3)</f>
        <v>0</v>
      </c>
      <c r="BL112" s="128" t="s">
        <v>197</v>
      </c>
      <c r="BM112" s="128" t="s">
        <v>308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309</v>
      </c>
      <c r="F113" s="172" t="s">
        <v>310</v>
      </c>
      <c r="G113" s="173" t="s">
        <v>136</v>
      </c>
      <c r="H113" s="174">
        <v>733</v>
      </c>
      <c r="I113" s="174"/>
      <c r="J113" s="174">
        <f t="shared" si="0"/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2.8049999999999999E-2</v>
      </c>
      <c r="P113" s="177">
        <f t="shared" si="1"/>
        <v>20.560649999999999</v>
      </c>
      <c r="Q113" s="177">
        <v>0</v>
      </c>
      <c r="R113" s="177">
        <f t="shared" si="2"/>
        <v>0</v>
      </c>
      <c r="S113" s="177">
        <v>0</v>
      </c>
      <c r="T113" s="178">
        <f t="shared" si="3"/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 t="shared" si="4"/>
        <v>0</v>
      </c>
      <c r="BF113" s="138">
        <f t="shared" si="5"/>
        <v>0</v>
      </c>
      <c r="BG113" s="138">
        <f t="shared" si="6"/>
        <v>0</v>
      </c>
      <c r="BH113" s="138">
        <f t="shared" si="7"/>
        <v>0</v>
      </c>
      <c r="BI113" s="138">
        <f t="shared" si="8"/>
        <v>0</v>
      </c>
      <c r="BJ113" s="128" t="s">
        <v>88</v>
      </c>
      <c r="BK113" s="166">
        <f t="shared" si="9"/>
        <v>0</v>
      </c>
      <c r="BL113" s="128" t="s">
        <v>197</v>
      </c>
      <c r="BM113" s="128" t="s">
        <v>311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312</v>
      </c>
      <c r="F114" s="189" t="s">
        <v>313</v>
      </c>
      <c r="G114" s="190" t="s">
        <v>136</v>
      </c>
      <c r="H114" s="191">
        <v>842.95</v>
      </c>
      <c r="I114" s="191"/>
      <c r="J114" s="191">
        <f t="shared" si="0"/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 t="shared" si="1"/>
        <v>0</v>
      </c>
      <c r="Q114" s="177">
        <v>4.0000000000000002E-4</v>
      </c>
      <c r="R114" s="177">
        <f t="shared" si="2"/>
        <v>0.33718000000000004</v>
      </c>
      <c r="S114" s="177">
        <v>0</v>
      </c>
      <c r="T114" s="178">
        <f t="shared" si="3"/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 t="shared" si="4"/>
        <v>0</v>
      </c>
      <c r="BF114" s="138">
        <f t="shared" si="5"/>
        <v>0</v>
      </c>
      <c r="BG114" s="138">
        <f t="shared" si="6"/>
        <v>0</v>
      </c>
      <c r="BH114" s="138">
        <f t="shared" si="7"/>
        <v>0</v>
      </c>
      <c r="BI114" s="138">
        <f t="shared" si="8"/>
        <v>0</v>
      </c>
      <c r="BJ114" s="128" t="s">
        <v>88</v>
      </c>
      <c r="BK114" s="166">
        <f t="shared" si="9"/>
        <v>0</v>
      </c>
      <c r="BL114" s="128" t="s">
        <v>197</v>
      </c>
      <c r="BM114" s="128" t="s">
        <v>314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316</v>
      </c>
      <c r="F115" s="172" t="s">
        <v>317</v>
      </c>
      <c r="G115" s="173" t="s">
        <v>205</v>
      </c>
      <c r="H115" s="174">
        <v>14</v>
      </c>
      <c r="I115" s="174"/>
      <c r="J115" s="174">
        <f t="shared" si="0"/>
        <v>0</v>
      </c>
      <c r="K115" s="172" t="s">
        <v>9</v>
      </c>
      <c r="L115" s="132"/>
      <c r="M115" s="175" t="s">
        <v>9</v>
      </c>
      <c r="N115" s="176" t="s">
        <v>27</v>
      </c>
      <c r="O115" s="177">
        <v>0.24274000000000001</v>
      </c>
      <c r="P115" s="177">
        <f t="shared" si="1"/>
        <v>3.3983600000000003</v>
      </c>
      <c r="Q115" s="177">
        <v>2.7599999999999999E-3</v>
      </c>
      <c r="R115" s="177">
        <f t="shared" si="2"/>
        <v>3.8640000000000001E-2</v>
      </c>
      <c r="S115" s="177">
        <v>0</v>
      </c>
      <c r="T115" s="178">
        <f t="shared" si="3"/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 t="shared" si="4"/>
        <v>0</v>
      </c>
      <c r="BF115" s="138">
        <f t="shared" si="5"/>
        <v>0</v>
      </c>
      <c r="BG115" s="138">
        <f t="shared" si="6"/>
        <v>0</v>
      </c>
      <c r="BH115" s="138">
        <f t="shared" si="7"/>
        <v>0</v>
      </c>
      <c r="BI115" s="138">
        <f t="shared" si="8"/>
        <v>0</v>
      </c>
      <c r="BJ115" s="128" t="s">
        <v>88</v>
      </c>
      <c r="BK115" s="166">
        <f t="shared" si="9"/>
        <v>0</v>
      </c>
      <c r="BL115" s="128" t="s">
        <v>197</v>
      </c>
      <c r="BM115" s="128" t="s">
        <v>318</v>
      </c>
    </row>
    <row r="116" spans="2:65" s="26" customFormat="1" ht="16.5" customHeight="1" x14ac:dyDescent="0.25">
      <c r="B116" s="169"/>
      <c r="C116" s="187" t="s">
        <v>435</v>
      </c>
      <c r="D116" s="187" t="s">
        <v>261</v>
      </c>
      <c r="E116" s="188" t="s">
        <v>319</v>
      </c>
      <c r="F116" s="189" t="s">
        <v>320</v>
      </c>
      <c r="G116" s="190" t="s">
        <v>205</v>
      </c>
      <c r="H116" s="191">
        <v>14</v>
      </c>
      <c r="I116" s="191"/>
      <c r="J116" s="191">
        <f t="shared" si="0"/>
        <v>0</v>
      </c>
      <c r="K116" s="189" t="s">
        <v>9</v>
      </c>
      <c r="L116" s="199"/>
      <c r="M116" s="200" t="s">
        <v>9</v>
      </c>
      <c r="N116" s="201" t="s">
        <v>27</v>
      </c>
      <c r="O116" s="177">
        <v>0</v>
      </c>
      <c r="P116" s="177">
        <f t="shared" si="1"/>
        <v>0</v>
      </c>
      <c r="Q116" s="177">
        <v>8.4999999999999995E-4</v>
      </c>
      <c r="R116" s="177">
        <f t="shared" si="2"/>
        <v>1.1899999999999999E-2</v>
      </c>
      <c r="S116" s="177">
        <v>0</v>
      </c>
      <c r="T116" s="178">
        <f t="shared" si="3"/>
        <v>0</v>
      </c>
      <c r="AR116" s="128" t="s">
        <v>286</v>
      </c>
      <c r="AT116" s="128" t="s">
        <v>261</v>
      </c>
      <c r="AU116" s="128" t="s">
        <v>88</v>
      </c>
      <c r="AY116" s="128" t="s">
        <v>126</v>
      </c>
      <c r="BE116" s="138">
        <f t="shared" si="4"/>
        <v>0</v>
      </c>
      <c r="BF116" s="138">
        <f t="shared" si="5"/>
        <v>0</v>
      </c>
      <c r="BG116" s="138">
        <f t="shared" si="6"/>
        <v>0</v>
      </c>
      <c r="BH116" s="138">
        <f t="shared" si="7"/>
        <v>0</v>
      </c>
      <c r="BI116" s="138">
        <f t="shared" si="8"/>
        <v>0</v>
      </c>
      <c r="BJ116" s="128" t="s">
        <v>88</v>
      </c>
      <c r="BK116" s="166">
        <f t="shared" si="9"/>
        <v>0</v>
      </c>
      <c r="BL116" s="128" t="s">
        <v>197</v>
      </c>
      <c r="BM116" s="128" t="s">
        <v>321</v>
      </c>
    </row>
    <row r="117" spans="2:65" s="26" customFormat="1" ht="16.5" customHeight="1" x14ac:dyDescent="0.25">
      <c r="B117" s="169"/>
      <c r="C117" s="170" t="s">
        <v>436</v>
      </c>
      <c r="D117" s="170" t="s">
        <v>129</v>
      </c>
      <c r="E117" s="171" t="s">
        <v>322</v>
      </c>
      <c r="F117" s="172" t="s">
        <v>323</v>
      </c>
      <c r="G117" s="173" t="s">
        <v>324</v>
      </c>
      <c r="H117" s="174">
        <f>SUM(J102:J116)/100*1.3</f>
        <v>0</v>
      </c>
      <c r="I117" s="174"/>
      <c r="J117" s="174">
        <f t="shared" si="0"/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</v>
      </c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 t="shared" si="4"/>
        <v>0</v>
      </c>
      <c r="BF117" s="138">
        <f t="shared" si="5"/>
        <v>0</v>
      </c>
      <c r="BG117" s="138">
        <f t="shared" si="6"/>
        <v>0</v>
      </c>
      <c r="BH117" s="138">
        <f t="shared" si="7"/>
        <v>0</v>
      </c>
      <c r="BI117" s="138">
        <f t="shared" si="8"/>
        <v>0</v>
      </c>
      <c r="BJ117" s="128" t="s">
        <v>88</v>
      </c>
      <c r="BK117" s="166">
        <f t="shared" si="9"/>
        <v>0</v>
      </c>
      <c r="BL117" s="128" t="s">
        <v>197</v>
      </c>
      <c r="BM117" s="128" t="s">
        <v>325</v>
      </c>
    </row>
    <row r="118" spans="2:65" s="158" customFormat="1" ht="22.9" customHeight="1" x14ac:dyDescent="0.2">
      <c r="B118" s="157"/>
      <c r="D118" s="159" t="s">
        <v>123</v>
      </c>
      <c r="E118" s="167" t="s">
        <v>326</v>
      </c>
      <c r="F118" s="167" t="s">
        <v>327</v>
      </c>
      <c r="J118" s="168">
        <f>SUM(J119:J122)</f>
        <v>0</v>
      </c>
      <c r="L118" s="157"/>
      <c r="M118" s="162"/>
      <c r="P118" s="163">
        <f>SUM(P119:P122)</f>
        <v>351.92002400000001</v>
      </c>
      <c r="R118" s="163">
        <f>SUM(R119:R122)</f>
        <v>5.1711706662500001</v>
      </c>
      <c r="T118" s="164">
        <f>SUM(T119:T122)</f>
        <v>0</v>
      </c>
      <c r="AR118" s="159" t="s">
        <v>88</v>
      </c>
      <c r="AT118" s="165" t="s">
        <v>123</v>
      </c>
      <c r="AU118" s="165" t="s">
        <v>42</v>
      </c>
      <c r="AY118" s="159" t="s">
        <v>126</v>
      </c>
      <c r="BK118" s="166">
        <f>SUM(BK119:BK122)</f>
        <v>0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328</v>
      </c>
      <c r="F119" s="172" t="s">
        <v>329</v>
      </c>
      <c r="G119" s="173" t="s">
        <v>136</v>
      </c>
      <c r="H119" s="174">
        <f>698.67*1.05</f>
        <v>733.60349999999994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0.46400000000000002</v>
      </c>
      <c r="P119" s="177">
        <f>O119*H119</f>
        <v>340.39202399999999</v>
      </c>
      <c r="Q119" s="177">
        <v>4.0000000000000001E-3</v>
      </c>
      <c r="R119" s="177">
        <f>Q119*H119</f>
        <v>2.9344139999999999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330</v>
      </c>
    </row>
    <row r="120" spans="2:65" s="26" customFormat="1" ht="16.5" customHeight="1" x14ac:dyDescent="0.25">
      <c r="B120" s="169"/>
      <c r="C120" s="187" t="s">
        <v>437</v>
      </c>
      <c r="D120" s="187" t="s">
        <v>261</v>
      </c>
      <c r="E120" s="188" t="s">
        <v>331</v>
      </c>
      <c r="F120" s="189" t="s">
        <v>332</v>
      </c>
      <c r="G120" s="190" t="s">
        <v>136</v>
      </c>
      <c r="H120" s="191">
        <f>H119*1.15</f>
        <v>843.64402499999983</v>
      </c>
      <c r="I120" s="191"/>
      <c r="J120" s="191">
        <f>ROUND(I120*H120,3)</f>
        <v>0</v>
      </c>
      <c r="K120" s="189" t="s">
        <v>156</v>
      </c>
      <c r="L120" s="199"/>
      <c r="M120" s="200" t="s">
        <v>9</v>
      </c>
      <c r="N120" s="201" t="s">
        <v>27</v>
      </c>
      <c r="O120" s="177">
        <v>0</v>
      </c>
      <c r="P120" s="177">
        <f>O120*H120</f>
        <v>0</v>
      </c>
      <c r="Q120" s="177">
        <v>2.65E-3</v>
      </c>
      <c r="R120" s="177">
        <f>Q120*H120</f>
        <v>2.2356566662499997</v>
      </c>
      <c r="S120" s="177">
        <v>0</v>
      </c>
      <c r="T120" s="178">
        <f>S120*H120</f>
        <v>0</v>
      </c>
      <c r="AR120" s="128" t="s">
        <v>286</v>
      </c>
      <c r="AT120" s="128" t="s">
        <v>261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333</v>
      </c>
    </row>
    <row r="121" spans="2:65" s="26" customFormat="1" ht="16.5" customHeight="1" x14ac:dyDescent="0.25">
      <c r="B121" s="169"/>
      <c r="C121" s="170" t="s">
        <v>438</v>
      </c>
      <c r="D121" s="170" t="s">
        <v>129</v>
      </c>
      <c r="E121" s="171" t="s">
        <v>335</v>
      </c>
      <c r="F121" s="172" t="s">
        <v>336</v>
      </c>
      <c r="G121" s="173" t="s">
        <v>234</v>
      </c>
      <c r="H121" s="174">
        <v>22</v>
      </c>
      <c r="I121" s="174"/>
      <c r="J121" s="174">
        <f>ROUND(I121*H121,3)</f>
        <v>0</v>
      </c>
      <c r="K121" s="172" t="s">
        <v>9</v>
      </c>
      <c r="L121" s="132"/>
      <c r="M121" s="175" t="s">
        <v>9</v>
      </c>
      <c r="N121" s="176" t="s">
        <v>27</v>
      </c>
      <c r="O121" s="177">
        <v>0.52400000000000002</v>
      </c>
      <c r="P121" s="177">
        <f>O121*H121</f>
        <v>11.528</v>
      </c>
      <c r="Q121" s="177">
        <v>5.0000000000000002E-5</v>
      </c>
      <c r="R121" s="177">
        <f>Q121*H121</f>
        <v>1.1000000000000001E-3</v>
      </c>
      <c r="S121" s="177">
        <v>0</v>
      </c>
      <c r="T121" s="178">
        <f>S121*H121</f>
        <v>0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>IF(N121="základná",J121,0)</f>
        <v>0</v>
      </c>
      <c r="BF121" s="138">
        <f>IF(N121="znížená",J121,0)</f>
        <v>0</v>
      </c>
      <c r="BG121" s="138">
        <f>IF(N121="zákl. prenesená",J121,0)</f>
        <v>0</v>
      </c>
      <c r="BH121" s="138">
        <f>IF(N121="zníž. prenesená",J121,0)</f>
        <v>0</v>
      </c>
      <c r="BI121" s="138">
        <f>IF(N121="nulová",J121,0)</f>
        <v>0</v>
      </c>
      <c r="BJ121" s="128" t="s">
        <v>88</v>
      </c>
      <c r="BK121" s="166">
        <f>ROUND(I121*H121,3)</f>
        <v>0</v>
      </c>
      <c r="BL121" s="128" t="s">
        <v>197</v>
      </c>
      <c r="BM121" s="128" t="s">
        <v>337</v>
      </c>
    </row>
    <row r="122" spans="2:65" s="26" customFormat="1" ht="16.5" customHeight="1" x14ac:dyDescent="0.25">
      <c r="B122" s="169"/>
      <c r="C122" s="170" t="s">
        <v>439</v>
      </c>
      <c r="D122" s="170" t="s">
        <v>129</v>
      </c>
      <c r="E122" s="171" t="s">
        <v>338</v>
      </c>
      <c r="F122" s="172" t="s">
        <v>339</v>
      </c>
      <c r="G122" s="173" t="s">
        <v>324</v>
      </c>
      <c r="H122" s="174">
        <f>SUM(J119:J121)/100*1.3</f>
        <v>0</v>
      </c>
      <c r="I122" s="174"/>
      <c r="J122" s="174">
        <f>ROUND(I122*H122,3)</f>
        <v>0</v>
      </c>
      <c r="K122" s="172" t="s">
        <v>156</v>
      </c>
      <c r="L122" s="132"/>
      <c r="M122" s="175" t="s">
        <v>9</v>
      </c>
      <c r="N122" s="176" t="s">
        <v>27</v>
      </c>
      <c r="O122" s="177">
        <v>0</v>
      </c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>IF(N122="základná",J122,0)</f>
        <v>0</v>
      </c>
      <c r="BF122" s="138">
        <f>IF(N122="znížená",J122,0)</f>
        <v>0</v>
      </c>
      <c r="BG122" s="138">
        <f>IF(N122="zákl. prenesená",J122,0)</f>
        <v>0</v>
      </c>
      <c r="BH122" s="138">
        <f>IF(N122="zníž. prenesená",J122,0)</f>
        <v>0</v>
      </c>
      <c r="BI122" s="138">
        <f>IF(N122="nulová",J122,0)</f>
        <v>0</v>
      </c>
      <c r="BJ122" s="128" t="s">
        <v>88</v>
      </c>
      <c r="BK122" s="166">
        <f>ROUND(I122*H122,3)</f>
        <v>0</v>
      </c>
      <c r="BL122" s="128" t="s">
        <v>197</v>
      </c>
      <c r="BM122" s="128" t="s">
        <v>340</v>
      </c>
    </row>
    <row r="123" spans="2:65" s="158" customFormat="1" ht="22.9" customHeight="1" x14ac:dyDescent="0.2">
      <c r="B123" s="157"/>
      <c r="D123" s="159" t="s">
        <v>123</v>
      </c>
      <c r="E123" s="167" t="s">
        <v>223</v>
      </c>
      <c r="F123" s="167" t="s">
        <v>224</v>
      </c>
      <c r="J123" s="168">
        <f>SUM(J124:J134)</f>
        <v>0</v>
      </c>
      <c r="L123" s="157"/>
      <c r="M123" s="162"/>
      <c r="P123" s="163">
        <f>SUM(P124:P134)</f>
        <v>480.20764400000007</v>
      </c>
      <c r="R123" s="163">
        <f>SUM(R124:R134)</f>
        <v>1.9389540000000001</v>
      </c>
      <c r="T123" s="164">
        <f>SUM(T124:T134)</f>
        <v>0</v>
      </c>
      <c r="AR123" s="159" t="s">
        <v>88</v>
      </c>
      <c r="AT123" s="165" t="s">
        <v>123</v>
      </c>
      <c r="AU123" s="165" t="s">
        <v>42</v>
      </c>
      <c r="AY123" s="159" t="s">
        <v>126</v>
      </c>
      <c r="BK123" s="166">
        <f>SUM(BK124:BK134)</f>
        <v>0</v>
      </c>
    </row>
    <row r="124" spans="2:65" s="26" customFormat="1" ht="16.5" customHeight="1" x14ac:dyDescent="0.25">
      <c r="B124" s="169"/>
      <c r="C124" s="170" t="s">
        <v>440</v>
      </c>
      <c r="D124" s="170" t="s">
        <v>129</v>
      </c>
      <c r="E124" s="171" t="s">
        <v>341</v>
      </c>
      <c r="F124" s="172" t="s">
        <v>342</v>
      </c>
      <c r="G124" s="173" t="s">
        <v>230</v>
      </c>
      <c r="H124" s="174">
        <f>284*1.1</f>
        <v>312.40000000000003</v>
      </c>
      <c r="I124" s="174"/>
      <c r="J124" s="174">
        <f>ROUND(I124*H124,3)</f>
        <v>0</v>
      </c>
      <c r="K124" s="172" t="s">
        <v>156</v>
      </c>
      <c r="L124" s="132"/>
      <c r="M124" s="175" t="s">
        <v>9</v>
      </c>
      <c r="N124" s="176" t="s">
        <v>27</v>
      </c>
      <c r="O124" s="177">
        <v>0.44500000000000001</v>
      </c>
      <c r="P124" s="177">
        <f>O124*H124</f>
        <v>139.01800000000003</v>
      </c>
      <c r="Q124" s="177">
        <v>2.0899999999999998E-3</v>
      </c>
      <c r="R124" s="177">
        <f>Q124*H124</f>
        <v>0.65291600000000005</v>
      </c>
      <c r="S124" s="177">
        <v>0</v>
      </c>
      <c r="T124" s="178">
        <f>S124*H124</f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>IF(N124="základná",J124,0)</f>
        <v>0</v>
      </c>
      <c r="BF124" s="138">
        <f>IF(N124="znížená",J124,0)</f>
        <v>0</v>
      </c>
      <c r="BG124" s="138">
        <f>IF(N124="zákl. prenesená",J124,0)</f>
        <v>0</v>
      </c>
      <c r="BH124" s="138">
        <f>IF(N124="zníž. prenesená",J124,0)</f>
        <v>0</v>
      </c>
      <c r="BI124" s="138">
        <f>IF(N124="nulová",J124,0)</f>
        <v>0</v>
      </c>
      <c r="BJ124" s="128" t="s">
        <v>88</v>
      </c>
      <c r="BK124" s="166">
        <f>ROUND(I124*H124,3)</f>
        <v>0</v>
      </c>
      <c r="BL124" s="128" t="s">
        <v>197</v>
      </c>
      <c r="BM124" s="128" t="s">
        <v>343</v>
      </c>
    </row>
    <row r="125" spans="2:65" s="26" customFormat="1" ht="16.5" customHeight="1" x14ac:dyDescent="0.25">
      <c r="B125" s="169"/>
      <c r="C125" s="170" t="s">
        <v>441</v>
      </c>
      <c r="D125" s="170" t="s">
        <v>129</v>
      </c>
      <c r="E125" s="171" t="s">
        <v>344</v>
      </c>
      <c r="F125" s="172" t="s">
        <v>476</v>
      </c>
      <c r="G125" s="173" t="s">
        <v>205</v>
      </c>
      <c r="H125" s="174">
        <v>20</v>
      </c>
      <c r="I125" s="174"/>
      <c r="J125" s="174">
        <f>ROUND(I125*H125,3)</f>
        <v>0</v>
      </c>
      <c r="K125" s="172" t="s">
        <v>9</v>
      </c>
      <c r="L125" s="132"/>
      <c r="M125" s="175" t="s">
        <v>9</v>
      </c>
      <c r="N125" s="176" t="s">
        <v>27</v>
      </c>
      <c r="O125" s="177">
        <v>1.38822</v>
      </c>
      <c r="P125" s="177">
        <f>O125*H125</f>
        <v>27.764400000000002</v>
      </c>
      <c r="Q125" s="177">
        <v>8.0000000000000004E-4</v>
      </c>
      <c r="R125" s="177">
        <f>Q125*H125</f>
        <v>1.6E-2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346</v>
      </c>
    </row>
    <row r="126" spans="2:65" s="26" customFormat="1" ht="16.5" customHeight="1" x14ac:dyDescent="0.25">
      <c r="B126" s="169"/>
      <c r="C126" s="170" t="s">
        <v>442</v>
      </c>
      <c r="D126" s="170" t="s">
        <v>129</v>
      </c>
      <c r="E126" s="171" t="s">
        <v>477</v>
      </c>
      <c r="F126" s="172" t="s">
        <v>478</v>
      </c>
      <c r="G126" s="173" t="s">
        <v>230</v>
      </c>
      <c r="H126" s="174">
        <f>49*1.1</f>
        <v>53.900000000000006</v>
      </c>
      <c r="I126" s="174"/>
      <c r="J126" s="174">
        <f>ROUND(I126*H126,3)</f>
        <v>0</v>
      </c>
      <c r="K126" s="172" t="s">
        <v>9</v>
      </c>
      <c r="L126" s="132"/>
      <c r="M126" s="175" t="s">
        <v>9</v>
      </c>
      <c r="N126" s="176" t="s">
        <v>27</v>
      </c>
      <c r="O126" s="177">
        <v>1.1739999999999999</v>
      </c>
      <c r="P126" s="177">
        <f>O126*H126</f>
        <v>63.278600000000004</v>
      </c>
      <c r="Q126" s="177">
        <v>2.3000000000000001E-4</v>
      </c>
      <c r="R126" s="177">
        <f>Q126*H126</f>
        <v>1.2397000000000002E-2</v>
      </c>
      <c r="S126" s="177">
        <v>0</v>
      </c>
      <c r="T126" s="178">
        <f>S126*H126</f>
        <v>0</v>
      </c>
      <c r="AR126" s="128" t="s">
        <v>197</v>
      </c>
      <c r="AT126" s="128" t="s">
        <v>129</v>
      </c>
      <c r="AU126" s="128" t="s">
        <v>88</v>
      </c>
      <c r="AY126" s="128" t="s">
        <v>126</v>
      </c>
      <c r="BE126" s="138">
        <f>IF(N126="základná",J126,0)</f>
        <v>0</v>
      </c>
      <c r="BF126" s="138">
        <f>IF(N126="znížená",J126,0)</f>
        <v>0</v>
      </c>
      <c r="BG126" s="138">
        <f>IF(N126="zákl. prenesená",J126,0)</f>
        <v>0</v>
      </c>
      <c r="BH126" s="138">
        <f>IF(N126="zníž. prenesená",J126,0)</f>
        <v>0</v>
      </c>
      <c r="BI126" s="138">
        <f>IF(N126="nulová",J126,0)</f>
        <v>0</v>
      </c>
      <c r="BJ126" s="128" t="s">
        <v>88</v>
      </c>
      <c r="BK126" s="166">
        <f>ROUND(I126*H126,3)</f>
        <v>0</v>
      </c>
      <c r="BL126" s="128" t="s">
        <v>197</v>
      </c>
      <c r="BM126" s="128" t="s">
        <v>479</v>
      </c>
    </row>
    <row r="127" spans="2:65" s="26" customFormat="1" ht="16.5" customHeight="1" x14ac:dyDescent="0.25">
      <c r="B127" s="169"/>
      <c r="C127" s="170" t="s">
        <v>444</v>
      </c>
      <c r="D127" s="170" t="s">
        <v>129</v>
      </c>
      <c r="E127" s="171" t="s">
        <v>356</v>
      </c>
      <c r="F127" s="172" t="s">
        <v>357</v>
      </c>
      <c r="G127" s="173" t="s">
        <v>230</v>
      </c>
      <c r="H127" s="174">
        <f>130*1.1</f>
        <v>143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1.161</v>
      </c>
      <c r="P127" s="177">
        <f>O127*H127</f>
        <v>166.023</v>
      </c>
      <c r="Q127" s="177">
        <v>6.3699999999999998E-3</v>
      </c>
      <c r="R127" s="177">
        <f>Q127*H127</f>
        <v>0.91091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480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481</v>
      </c>
      <c r="H128" s="166"/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42</v>
      </c>
      <c r="AY128" s="128" t="s">
        <v>126</v>
      </c>
    </row>
    <row r="129" spans="2:65" s="26" customFormat="1" ht="16.5" customHeight="1" x14ac:dyDescent="0.25">
      <c r="B129" s="169"/>
      <c r="C129" s="170" t="s">
        <v>447</v>
      </c>
      <c r="D129" s="170" t="s">
        <v>129</v>
      </c>
      <c r="E129" s="171" t="s">
        <v>482</v>
      </c>
      <c r="F129" s="172" t="s">
        <v>483</v>
      </c>
      <c r="G129" s="173" t="s">
        <v>230</v>
      </c>
      <c r="H129" s="174">
        <f>49*1.1</f>
        <v>53.900000000000006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1.161</v>
      </c>
      <c r="P129" s="177">
        <f>O129*H129</f>
        <v>62.577900000000007</v>
      </c>
      <c r="Q129" s="177">
        <v>6.3699999999999998E-3</v>
      </c>
      <c r="R129" s="177">
        <f>Q129*H129</f>
        <v>0.34334300000000001</v>
      </c>
      <c r="S129" s="177">
        <v>0</v>
      </c>
      <c r="T129" s="178">
        <f>S129*H129</f>
        <v>0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484</v>
      </c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485</v>
      </c>
      <c r="H130" s="166"/>
      <c r="L130" s="132"/>
      <c r="M130" s="180"/>
      <c r="T130" s="181"/>
      <c r="AT130" s="128" t="s">
        <v>161</v>
      </c>
      <c r="AU130" s="128" t="s">
        <v>88</v>
      </c>
      <c r="AV130" s="26" t="s">
        <v>88</v>
      </c>
      <c r="AW130" s="26" t="s">
        <v>163</v>
      </c>
      <c r="AX130" s="26" t="s">
        <v>42</v>
      </c>
      <c r="AY130" s="128" t="s">
        <v>126</v>
      </c>
    </row>
    <row r="131" spans="2:65" s="26" customFormat="1" ht="16.5" customHeight="1" x14ac:dyDescent="0.25">
      <c r="B131" s="169"/>
      <c r="C131" s="170" t="s">
        <v>448</v>
      </c>
      <c r="D131" s="170" t="s">
        <v>129</v>
      </c>
      <c r="E131" s="171" t="s">
        <v>362</v>
      </c>
      <c r="F131" s="172" t="s">
        <v>363</v>
      </c>
      <c r="G131" s="173" t="s">
        <v>230</v>
      </c>
      <c r="H131" s="174">
        <f>22*1.1</f>
        <v>24.200000000000003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 t="s">
        <v>27</v>
      </c>
      <c r="O131" s="177">
        <v>0.89032</v>
      </c>
      <c r="P131" s="177">
        <f>O131*H131</f>
        <v>21.545744000000003</v>
      </c>
      <c r="Q131" s="177">
        <v>1.3999999999999999E-4</v>
      </c>
      <c r="R131" s="177">
        <f>Q131*H131</f>
        <v>3.388E-3</v>
      </c>
      <c r="S131" s="177">
        <v>0</v>
      </c>
      <c r="T131" s="178">
        <f>S131*H131</f>
        <v>0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364</v>
      </c>
    </row>
    <row r="132" spans="2:65" s="26" customFormat="1" ht="16.5" customHeight="1" x14ac:dyDescent="0.25">
      <c r="B132" s="169"/>
      <c r="C132" s="170" t="s">
        <v>450</v>
      </c>
      <c r="D132" s="170" t="s">
        <v>129</v>
      </c>
      <c r="E132" s="171" t="s">
        <v>365</v>
      </c>
      <c r="F132" s="172" t="s">
        <v>366</v>
      </c>
      <c r="G132" s="173" t="s">
        <v>234</v>
      </c>
      <c r="H132" s="174">
        <f>H124</f>
        <v>312.40000000000003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0</v>
      </c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367</v>
      </c>
    </row>
    <row r="133" spans="2:65" s="26" customFormat="1" ht="16.5" customHeight="1" x14ac:dyDescent="0.25">
      <c r="B133" s="169"/>
      <c r="C133" s="170" t="s">
        <v>418</v>
      </c>
      <c r="D133" s="170" t="s">
        <v>129</v>
      </c>
      <c r="E133" s="171" t="s">
        <v>360</v>
      </c>
      <c r="F133" s="172" t="s">
        <v>361</v>
      </c>
      <c r="G133" s="173" t="s">
        <v>230</v>
      </c>
      <c r="H133" s="174">
        <v>49</v>
      </c>
      <c r="I133" s="174"/>
      <c r="J133" s="174">
        <f>I133*H133</f>
        <v>0</v>
      </c>
      <c r="K133" s="172"/>
      <c r="AF133" s="128"/>
      <c r="AH133" s="128"/>
      <c r="AI133" s="128"/>
      <c r="AM133" s="128"/>
      <c r="AS133" s="138"/>
      <c r="AT133" s="138"/>
      <c r="AU133" s="138"/>
      <c r="AV133" s="138"/>
      <c r="AW133" s="138"/>
      <c r="AX133" s="128"/>
      <c r="AY133" s="166"/>
      <c r="AZ133" s="128"/>
      <c r="BA133" s="128"/>
    </row>
    <row r="134" spans="2:65" s="26" customFormat="1" ht="16.5" customHeight="1" x14ac:dyDescent="0.25">
      <c r="B134" s="169"/>
      <c r="C134" s="170" t="s">
        <v>451</v>
      </c>
      <c r="D134" s="170" t="s">
        <v>129</v>
      </c>
      <c r="E134" s="171" t="s">
        <v>368</v>
      </c>
      <c r="F134" s="172" t="s">
        <v>369</v>
      </c>
      <c r="G134" s="173" t="s">
        <v>324</v>
      </c>
      <c r="H134" s="174">
        <f>SUM(J124:J132)/100*1.3</f>
        <v>0</v>
      </c>
      <c r="I134" s="174"/>
      <c r="J134" s="174">
        <f>ROUND(I134*H134,3)</f>
        <v>0</v>
      </c>
      <c r="K134" s="172" t="s">
        <v>156</v>
      </c>
      <c r="L134" s="132"/>
      <c r="M134" s="175" t="s">
        <v>9</v>
      </c>
      <c r="N134" s="176" t="s">
        <v>27</v>
      </c>
      <c r="O134" s="177">
        <v>0</v>
      </c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370</v>
      </c>
    </row>
    <row r="135" spans="2:65" s="158" customFormat="1" ht="22.9" customHeight="1" x14ac:dyDescent="0.2">
      <c r="B135" s="157"/>
      <c r="D135" s="159" t="s">
        <v>123</v>
      </c>
      <c r="E135" s="167" t="s">
        <v>242</v>
      </c>
      <c r="F135" s="167" t="s">
        <v>243</v>
      </c>
      <c r="J135" s="168">
        <f>SUM(J136:J137)</f>
        <v>0</v>
      </c>
      <c r="L135" s="157"/>
      <c r="M135" s="162"/>
      <c r="P135" s="163">
        <f>SUM(P136:P137)</f>
        <v>1.1000000000000001</v>
      </c>
      <c r="R135" s="163">
        <f>SUM(R136:R137)</f>
        <v>1.8000000000000001E-4</v>
      </c>
      <c r="T135" s="164">
        <f>SUM(T136:T137)</f>
        <v>0</v>
      </c>
      <c r="AR135" s="159" t="s">
        <v>88</v>
      </c>
      <c r="AT135" s="165" t="s">
        <v>123</v>
      </c>
      <c r="AU135" s="165" t="s">
        <v>42</v>
      </c>
      <c r="AY135" s="159" t="s">
        <v>126</v>
      </c>
      <c r="BK135" s="166">
        <f>SUM(BK136:BK137)</f>
        <v>0</v>
      </c>
    </row>
    <row r="136" spans="2:65" s="26" customFormat="1" ht="16.5" customHeight="1" x14ac:dyDescent="0.25">
      <c r="B136" s="169"/>
      <c r="C136" s="170" t="s">
        <v>286</v>
      </c>
      <c r="D136" s="170" t="s">
        <v>129</v>
      </c>
      <c r="E136" s="171" t="s">
        <v>371</v>
      </c>
      <c r="F136" s="172" t="s">
        <v>372</v>
      </c>
      <c r="G136" s="173" t="s">
        <v>205</v>
      </c>
      <c r="H136" s="174">
        <v>2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0.55000000000000004</v>
      </c>
      <c r="P136" s="177">
        <f>O136*H136</f>
        <v>1.1000000000000001</v>
      </c>
      <c r="Q136" s="177">
        <v>9.0000000000000006E-5</v>
      </c>
      <c r="R136" s="177">
        <f>Q136*H136</f>
        <v>1.8000000000000001E-4</v>
      </c>
      <c r="S136" s="177">
        <v>0</v>
      </c>
      <c r="T136" s="178">
        <f>S136*H136</f>
        <v>0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373</v>
      </c>
    </row>
    <row r="137" spans="2:65" s="26" customFormat="1" ht="16.5" customHeight="1" x14ac:dyDescent="0.25">
      <c r="B137" s="169"/>
      <c r="C137" s="170" t="s">
        <v>452</v>
      </c>
      <c r="D137" s="170" t="s">
        <v>129</v>
      </c>
      <c r="E137" s="171" t="s">
        <v>374</v>
      </c>
      <c r="F137" s="172" t="s">
        <v>375</v>
      </c>
      <c r="G137" s="173" t="s">
        <v>324</v>
      </c>
      <c r="H137" s="174">
        <v>2.016</v>
      </c>
      <c r="I137" s="174"/>
      <c r="J137" s="174">
        <f>ROUND(I137*H137,3)</f>
        <v>0</v>
      </c>
      <c r="K137" s="172" t="s">
        <v>156</v>
      </c>
      <c r="L137" s="132"/>
      <c r="M137" s="175" t="s">
        <v>9</v>
      </c>
      <c r="N137" s="176" t="s">
        <v>27</v>
      </c>
      <c r="O137" s="177">
        <v>0</v>
      </c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128" t="s">
        <v>197</v>
      </c>
      <c r="AT137" s="128" t="s">
        <v>129</v>
      </c>
      <c r="AU137" s="128" t="s">
        <v>88</v>
      </c>
      <c r="AY137" s="128" t="s">
        <v>126</v>
      </c>
      <c r="BE137" s="138">
        <f>IF(N137="základná",J137,0)</f>
        <v>0</v>
      </c>
      <c r="BF137" s="138">
        <f>IF(N137="znížená",J137,0)</f>
        <v>0</v>
      </c>
      <c r="BG137" s="138">
        <f>IF(N137="zákl. prenesená",J137,0)</f>
        <v>0</v>
      </c>
      <c r="BH137" s="138">
        <f>IF(N137="zníž. prenesená",J137,0)</f>
        <v>0</v>
      </c>
      <c r="BI137" s="138">
        <f>IF(N137="nulová",J137,0)</f>
        <v>0</v>
      </c>
      <c r="BJ137" s="128" t="s">
        <v>88</v>
      </c>
      <c r="BK137" s="166">
        <f>ROUND(I137*H137,3)</f>
        <v>0</v>
      </c>
      <c r="BL137" s="128" t="s">
        <v>197</v>
      </c>
      <c r="BM137" s="128" t="s">
        <v>376</v>
      </c>
    </row>
    <row r="138" spans="2:65" s="158" customFormat="1" ht="22.9" customHeight="1" x14ac:dyDescent="0.2">
      <c r="B138" s="157"/>
      <c r="D138" s="159"/>
      <c r="E138" s="167" t="s">
        <v>377</v>
      </c>
      <c r="F138" s="167" t="s">
        <v>378</v>
      </c>
      <c r="J138" s="168">
        <f>SUM(J139:J141)</f>
        <v>0</v>
      </c>
      <c r="L138" s="157"/>
      <c r="M138" s="162"/>
      <c r="P138" s="163"/>
      <c r="R138" s="163"/>
      <c r="T138" s="164"/>
      <c r="AR138" s="159"/>
      <c r="AT138" s="165"/>
      <c r="AU138" s="165"/>
      <c r="AY138" s="159"/>
      <c r="BK138" s="166"/>
    </row>
    <row r="139" spans="2:65" s="26" customFormat="1" ht="16.5" customHeight="1" x14ac:dyDescent="0.25">
      <c r="B139" s="169"/>
      <c r="C139" s="170">
        <v>34</v>
      </c>
      <c r="D139" s="170" t="s">
        <v>129</v>
      </c>
      <c r="E139" s="171" t="s">
        <v>379</v>
      </c>
      <c r="F139" s="172" t="s">
        <v>380</v>
      </c>
      <c r="G139" s="173" t="s">
        <v>136</v>
      </c>
      <c r="H139" s="174">
        <v>33</v>
      </c>
      <c r="I139" s="174"/>
      <c r="J139" s="174">
        <f>ROUND(I139*H139,3)</f>
        <v>0</v>
      </c>
      <c r="K139" s="172" t="s">
        <v>156</v>
      </c>
      <c r="L139" s="132"/>
      <c r="M139" s="175" t="s">
        <v>9</v>
      </c>
      <c r="N139" s="176" t="s">
        <v>27</v>
      </c>
      <c r="O139" s="177">
        <v>0</v>
      </c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128" t="s">
        <v>197</v>
      </c>
      <c r="AT139" s="128" t="s">
        <v>129</v>
      </c>
      <c r="AU139" s="128" t="s">
        <v>88</v>
      </c>
      <c r="AY139" s="128" t="s">
        <v>126</v>
      </c>
      <c r="BE139" s="138">
        <f>IF(N139="základná",J139,0)</f>
        <v>0</v>
      </c>
      <c r="BF139" s="138">
        <f>IF(N139="znížená",J139,0)</f>
        <v>0</v>
      </c>
      <c r="BG139" s="138">
        <f>IF(N139="zákl. prenesená",J139,0)</f>
        <v>0</v>
      </c>
      <c r="BH139" s="138">
        <f>IF(N139="zníž. prenesená",J139,0)</f>
        <v>0</v>
      </c>
      <c r="BI139" s="138">
        <f>IF(N139="nulová",J139,0)</f>
        <v>0</v>
      </c>
      <c r="BJ139" s="128" t="s">
        <v>88</v>
      </c>
      <c r="BK139" s="166">
        <f>ROUND(I139*H139,3)</f>
        <v>0</v>
      </c>
      <c r="BL139" s="128" t="s">
        <v>197</v>
      </c>
      <c r="BM139" s="128" t="s">
        <v>376</v>
      </c>
    </row>
    <row r="140" spans="2:65" s="26" customFormat="1" ht="16.5" customHeight="1" x14ac:dyDescent="0.25">
      <c r="B140" s="169"/>
      <c r="C140" s="170"/>
      <c r="D140" s="170"/>
      <c r="E140" s="171"/>
      <c r="F140" s="172" t="s">
        <v>453</v>
      </c>
      <c r="G140" s="173"/>
      <c r="H140" s="174"/>
      <c r="I140" s="174"/>
      <c r="J140" s="174"/>
      <c r="K140" s="172"/>
      <c r="L140" s="132"/>
      <c r="M140" s="175"/>
      <c r="N140" s="176"/>
      <c r="O140" s="177"/>
      <c r="P140" s="177"/>
      <c r="Q140" s="177"/>
      <c r="R140" s="177"/>
      <c r="S140" s="177"/>
      <c r="T140" s="178"/>
      <c r="AR140" s="128"/>
      <c r="AT140" s="128"/>
      <c r="AU140" s="128"/>
      <c r="AY140" s="128"/>
      <c r="BE140" s="138"/>
      <c r="BF140" s="138"/>
      <c r="BG140" s="138"/>
      <c r="BH140" s="138"/>
      <c r="BI140" s="138"/>
      <c r="BJ140" s="128"/>
      <c r="BK140" s="166"/>
      <c r="BL140" s="128"/>
      <c r="BM140" s="128"/>
    </row>
    <row r="141" spans="2:65" s="26" customFormat="1" ht="16.5" customHeight="1" x14ac:dyDescent="0.25">
      <c r="B141" s="169"/>
      <c r="C141" s="170">
        <v>35</v>
      </c>
      <c r="D141" s="170"/>
      <c r="E141" s="171" t="s">
        <v>381</v>
      </c>
      <c r="F141" s="172" t="s">
        <v>382</v>
      </c>
      <c r="G141" s="173" t="s">
        <v>136</v>
      </c>
      <c r="H141" s="174">
        <f>H139</f>
        <v>33</v>
      </c>
      <c r="I141" s="174"/>
      <c r="J141" s="174">
        <f>ROUND(I141*H141,3)</f>
        <v>0</v>
      </c>
      <c r="K141" s="172"/>
      <c r="L141" s="132"/>
      <c r="M141" s="175"/>
      <c r="N141" s="176"/>
      <c r="O141" s="177"/>
      <c r="P141" s="177"/>
      <c r="Q141" s="177"/>
      <c r="R141" s="177"/>
      <c r="S141" s="177"/>
      <c r="T141" s="178"/>
      <c r="AR141" s="128"/>
      <c r="AT141" s="128"/>
      <c r="AU141" s="128"/>
      <c r="AY141" s="128"/>
      <c r="BE141" s="138"/>
      <c r="BF141" s="138"/>
      <c r="BG141" s="138"/>
      <c r="BH141" s="138"/>
      <c r="BI141" s="138"/>
      <c r="BJ141" s="128"/>
      <c r="BK141" s="166"/>
      <c r="BL141" s="128"/>
      <c r="BM141" s="128"/>
    </row>
    <row r="142" spans="2:65" s="158" customFormat="1" ht="25.9" customHeight="1" x14ac:dyDescent="0.2">
      <c r="B142" s="157"/>
      <c r="D142" s="159" t="s">
        <v>123</v>
      </c>
      <c r="E142" s="160" t="s">
        <v>261</v>
      </c>
      <c r="F142" s="160" t="s">
        <v>383</v>
      </c>
      <c r="J142" s="161">
        <f>J143</f>
        <v>0</v>
      </c>
      <c r="L142" s="157"/>
      <c r="M142" s="162"/>
      <c r="P142" s="163">
        <f>P143</f>
        <v>0.15</v>
      </c>
      <c r="R142" s="163">
        <f>R143</f>
        <v>0</v>
      </c>
      <c r="T142" s="164">
        <f>T143</f>
        <v>0</v>
      </c>
      <c r="AR142" s="159" t="s">
        <v>140</v>
      </c>
      <c r="AT142" s="165" t="s">
        <v>123</v>
      </c>
      <c r="AU142" s="165" t="s">
        <v>39</v>
      </c>
      <c r="AY142" s="159" t="s">
        <v>126</v>
      </c>
      <c r="BK142" s="166">
        <f>BK143</f>
        <v>0</v>
      </c>
    </row>
    <row r="143" spans="2:65" s="158" customFormat="1" ht="22.9" customHeight="1" x14ac:dyDescent="0.2">
      <c r="B143" s="157"/>
      <c r="D143" s="159" t="s">
        <v>123</v>
      </c>
      <c r="E143" s="167" t="s">
        <v>384</v>
      </c>
      <c r="F143" s="167" t="s">
        <v>385</v>
      </c>
      <c r="J143" s="168">
        <f>SUM(J144)</f>
        <v>0</v>
      </c>
      <c r="L143" s="157"/>
      <c r="M143" s="162"/>
      <c r="P143" s="163">
        <f>P144</f>
        <v>0.15</v>
      </c>
      <c r="R143" s="163">
        <f>R144</f>
        <v>0</v>
      </c>
      <c r="T143" s="164">
        <f>T144</f>
        <v>0</v>
      </c>
      <c r="AR143" s="159" t="s">
        <v>140</v>
      </c>
      <c r="AT143" s="165" t="s">
        <v>123</v>
      </c>
      <c r="AU143" s="165" t="s">
        <v>42</v>
      </c>
      <c r="AY143" s="159" t="s">
        <v>126</v>
      </c>
      <c r="BK143" s="166">
        <f>BK144</f>
        <v>0</v>
      </c>
    </row>
    <row r="144" spans="2:65" s="26" customFormat="1" ht="16.5" customHeight="1" x14ac:dyDescent="0.25">
      <c r="B144" s="169"/>
      <c r="C144" s="170">
        <v>36</v>
      </c>
      <c r="D144" s="170" t="s">
        <v>129</v>
      </c>
      <c r="E144" s="171" t="s">
        <v>386</v>
      </c>
      <c r="F144" s="172" t="s">
        <v>387</v>
      </c>
      <c r="G144" s="173" t="s">
        <v>153</v>
      </c>
      <c r="H144" s="174">
        <v>1</v>
      </c>
      <c r="I144" s="174"/>
      <c r="J144" s="174">
        <f>ROUND(I144*H144,3)</f>
        <v>0</v>
      </c>
      <c r="K144" s="172" t="s">
        <v>9</v>
      </c>
      <c r="L144" s="132"/>
      <c r="M144" s="183" t="s">
        <v>9</v>
      </c>
      <c r="N144" s="184" t="s">
        <v>27</v>
      </c>
      <c r="O144" s="185">
        <v>0.15</v>
      </c>
      <c r="P144" s="185">
        <f>O144*H144</f>
        <v>0.15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128" t="s">
        <v>388</v>
      </c>
      <c r="AT144" s="128" t="s">
        <v>129</v>
      </c>
      <c r="AU144" s="128" t="s">
        <v>88</v>
      </c>
      <c r="AY144" s="128" t="s">
        <v>126</v>
      </c>
      <c r="BE144" s="138">
        <f>IF(N144="základná",J144,0)</f>
        <v>0</v>
      </c>
      <c r="BF144" s="138">
        <f>IF(N144="znížená",J144,0)</f>
        <v>0</v>
      </c>
      <c r="BG144" s="138">
        <f>IF(N144="zákl. prenesená",J144,0)</f>
        <v>0</v>
      </c>
      <c r="BH144" s="138">
        <f>IF(N144="zníž. prenesená",J144,0)</f>
        <v>0</v>
      </c>
      <c r="BI144" s="138">
        <f>IF(N144="nulová",J144,0)</f>
        <v>0</v>
      </c>
      <c r="BJ144" s="128" t="s">
        <v>88</v>
      </c>
      <c r="BK144" s="166">
        <f>ROUND(I144*H144,3)</f>
        <v>0</v>
      </c>
      <c r="BL144" s="128" t="s">
        <v>388</v>
      </c>
      <c r="BM144" s="128" t="s">
        <v>389</v>
      </c>
    </row>
    <row r="145" spans="2:65" s="26" customFormat="1" ht="16.5" customHeight="1" x14ac:dyDescent="0.25">
      <c r="B145" s="169"/>
      <c r="C145" s="194"/>
      <c r="D145" s="194"/>
      <c r="E145" s="195"/>
      <c r="F145" s="196"/>
      <c r="G145" s="197"/>
      <c r="H145" s="198"/>
      <c r="I145" s="198"/>
      <c r="J145" s="198"/>
      <c r="K145" s="196"/>
      <c r="L145" s="132"/>
      <c r="M145" s="128"/>
      <c r="N145" s="176"/>
      <c r="O145" s="177"/>
      <c r="P145" s="177"/>
      <c r="Q145" s="177"/>
      <c r="R145" s="177"/>
      <c r="S145" s="177"/>
      <c r="T145" s="177"/>
      <c r="AR145" s="128"/>
      <c r="AT145" s="128"/>
      <c r="AU145" s="128"/>
      <c r="AY145" s="128"/>
      <c r="BE145" s="138"/>
      <c r="BF145" s="138"/>
      <c r="BG145" s="138"/>
      <c r="BH145" s="138"/>
      <c r="BI145" s="138"/>
      <c r="BJ145" s="128"/>
      <c r="BK145" s="166"/>
      <c r="BL145" s="128"/>
      <c r="BM145" s="128"/>
    </row>
    <row r="146" spans="2:65" s="158" customFormat="1" ht="25.9" customHeight="1" x14ac:dyDescent="0.2">
      <c r="B146" s="157"/>
      <c r="D146" s="159"/>
      <c r="E146" s="160"/>
      <c r="F146" s="160" t="s">
        <v>390</v>
      </c>
      <c r="J146" s="161">
        <f>J147</f>
        <v>0</v>
      </c>
      <c r="L146" s="157"/>
      <c r="M146" s="162"/>
      <c r="P146" s="163">
        <f>P147</f>
        <v>0.66</v>
      </c>
      <c r="R146" s="163">
        <f>R147</f>
        <v>0</v>
      </c>
      <c r="T146" s="164">
        <f>T147</f>
        <v>0</v>
      </c>
      <c r="AR146" s="159" t="s">
        <v>140</v>
      </c>
      <c r="AT146" s="165" t="s">
        <v>123</v>
      </c>
      <c r="AU146" s="165" t="s">
        <v>39</v>
      </c>
      <c r="AY146" s="159" t="s">
        <v>126</v>
      </c>
      <c r="BK146" s="166">
        <f>BK147</f>
        <v>0</v>
      </c>
    </row>
    <row r="147" spans="2:65" s="158" customFormat="1" ht="22.9" customHeight="1" x14ac:dyDescent="0.2">
      <c r="B147" s="157"/>
      <c r="D147" s="159" t="s">
        <v>391</v>
      </c>
      <c r="E147" s="167">
        <v>0</v>
      </c>
      <c r="F147" s="167" t="s">
        <v>392</v>
      </c>
      <c r="J147" s="168">
        <f>SUM(J148:J151)</f>
        <v>0</v>
      </c>
      <c r="L147" s="157"/>
      <c r="M147" s="162"/>
      <c r="P147" s="163">
        <f>P148</f>
        <v>0.66</v>
      </c>
      <c r="R147" s="163">
        <f>R148</f>
        <v>0</v>
      </c>
      <c r="T147" s="164">
        <f>T148</f>
        <v>0</v>
      </c>
      <c r="AR147" s="159" t="s">
        <v>140</v>
      </c>
      <c r="AT147" s="165" t="s">
        <v>123</v>
      </c>
      <c r="AU147" s="165" t="s">
        <v>42</v>
      </c>
      <c r="AY147" s="159" t="s">
        <v>126</v>
      </c>
      <c r="BK147" s="166">
        <f>BK148</f>
        <v>0</v>
      </c>
    </row>
    <row r="148" spans="2:65" s="26" customFormat="1" ht="16.5" customHeight="1" x14ac:dyDescent="0.25">
      <c r="B148" s="169"/>
      <c r="C148" s="170">
        <v>37</v>
      </c>
      <c r="D148" s="170" t="s">
        <v>129</v>
      </c>
      <c r="E148" s="171" t="s">
        <v>393</v>
      </c>
      <c r="F148" s="172" t="s">
        <v>394</v>
      </c>
      <c r="G148" s="173" t="s">
        <v>324</v>
      </c>
      <c r="H148" s="174">
        <f>'[1]B -montáž - skúška 1.1'!H150</f>
        <v>4.4000000000000004</v>
      </c>
      <c r="I148" s="174"/>
      <c r="J148" s="174">
        <f>ROUND(I148*H148,3)</f>
        <v>0</v>
      </c>
      <c r="K148" s="172" t="s">
        <v>9</v>
      </c>
      <c r="L148" s="132"/>
      <c r="M148" s="183" t="s">
        <v>9</v>
      </c>
      <c r="N148" s="184" t="s">
        <v>27</v>
      </c>
      <c r="O148" s="185">
        <v>0.15</v>
      </c>
      <c r="P148" s="185">
        <f>O148*H148</f>
        <v>0.66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128" t="s">
        <v>388</v>
      </c>
      <c r="AT148" s="128" t="s">
        <v>129</v>
      </c>
      <c r="AU148" s="128" t="s">
        <v>88</v>
      </c>
      <c r="AY148" s="128" t="s">
        <v>126</v>
      </c>
      <c r="BE148" s="138">
        <f>IF(N148="základná",J148,0)</f>
        <v>0</v>
      </c>
      <c r="BF148" s="138">
        <f>IF(N148="znížená",J148,0)</f>
        <v>0</v>
      </c>
      <c r="BG148" s="138">
        <f>IF(N148="zákl. prenesená",J148,0)</f>
        <v>0</v>
      </c>
      <c r="BH148" s="138">
        <f>IF(N148="zníž. prenesená",J148,0)</f>
        <v>0</v>
      </c>
      <c r="BI148" s="138">
        <f>IF(N148="nulová",J148,0)</f>
        <v>0</v>
      </c>
      <c r="BJ148" s="128" t="s">
        <v>88</v>
      </c>
      <c r="BK148" s="166">
        <f>ROUND(I148*H148,3)</f>
        <v>0</v>
      </c>
      <c r="BL148" s="128" t="s">
        <v>388</v>
      </c>
      <c r="BM148" s="128" t="s">
        <v>389</v>
      </c>
    </row>
    <row r="149" spans="2:65" s="26" customFormat="1" ht="16.5" customHeight="1" x14ac:dyDescent="0.25">
      <c r="B149" s="169"/>
      <c r="C149" s="170">
        <v>38</v>
      </c>
      <c r="D149" s="170" t="s">
        <v>129</v>
      </c>
      <c r="E149" s="171" t="s">
        <v>395</v>
      </c>
      <c r="F149" s="172" t="s">
        <v>396</v>
      </c>
      <c r="G149" s="173" t="s">
        <v>324</v>
      </c>
      <c r="H149" s="174">
        <f>'[1]B -montáž - skúška 1.1'!H151</f>
        <v>1</v>
      </c>
      <c r="I149" s="174"/>
      <c r="J149" s="174">
        <f>ROUND(I149*H149,3)</f>
        <v>0</v>
      </c>
      <c r="K149" s="172" t="s">
        <v>9</v>
      </c>
      <c r="L149" s="132"/>
      <c r="M149" s="183" t="s">
        <v>9</v>
      </c>
      <c r="N149" s="184" t="s">
        <v>27</v>
      </c>
      <c r="O149" s="185">
        <v>0.15</v>
      </c>
      <c r="P149" s="185">
        <f>O149*H149</f>
        <v>0.15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AR149" s="128" t="s">
        <v>388</v>
      </c>
      <c r="AT149" s="128" t="s">
        <v>129</v>
      </c>
      <c r="AU149" s="128" t="s">
        <v>88</v>
      </c>
      <c r="AY149" s="128" t="s">
        <v>126</v>
      </c>
      <c r="BE149" s="138">
        <f>IF(N149="základná",J149,0)</f>
        <v>0</v>
      </c>
      <c r="BF149" s="138">
        <f>IF(N149="znížená",J149,0)</f>
        <v>0</v>
      </c>
      <c r="BG149" s="138">
        <f>IF(N149="zákl. prenesená",J149,0)</f>
        <v>0</v>
      </c>
      <c r="BH149" s="138">
        <f>IF(N149="zníž. prenesená",J149,0)</f>
        <v>0</v>
      </c>
      <c r="BI149" s="138">
        <f>IF(N149="nulová",J149,0)</f>
        <v>0</v>
      </c>
      <c r="BJ149" s="128" t="s">
        <v>88</v>
      </c>
      <c r="BK149" s="166">
        <f>ROUND(I149*H149,3)</f>
        <v>0</v>
      </c>
      <c r="BL149" s="128" t="s">
        <v>388</v>
      </c>
      <c r="BM149" s="128" t="s">
        <v>389</v>
      </c>
    </row>
    <row r="150" spans="2:65" s="26" customFormat="1" ht="16.5" customHeight="1" x14ac:dyDescent="0.25">
      <c r="B150" s="169"/>
      <c r="C150" s="170">
        <v>39</v>
      </c>
      <c r="D150" s="170" t="s">
        <v>129</v>
      </c>
      <c r="E150" s="171" t="s">
        <v>397</v>
      </c>
      <c r="F150" s="172" t="s">
        <v>398</v>
      </c>
      <c r="G150" s="173" t="s">
        <v>399</v>
      </c>
      <c r="H150" s="174">
        <f>H102*0.15</f>
        <v>291.10050000000001</v>
      </c>
      <c r="I150" s="174"/>
      <c r="J150" s="174">
        <f>ROUND(I150*H150,3)</f>
        <v>0</v>
      </c>
      <c r="K150" s="172"/>
      <c r="L150" s="132"/>
      <c r="M150" s="183"/>
      <c r="N150" s="184"/>
      <c r="O150" s="185"/>
      <c r="P150" s="185"/>
      <c r="Q150" s="185"/>
      <c r="R150" s="185"/>
      <c r="S150" s="185"/>
      <c r="T150" s="186"/>
      <c r="AR150" s="128"/>
      <c r="AT150" s="128"/>
      <c r="AU150" s="128"/>
      <c r="AY150" s="128"/>
      <c r="BE150" s="138"/>
      <c r="BF150" s="138"/>
      <c r="BG150" s="138"/>
      <c r="BH150" s="138"/>
      <c r="BI150" s="138"/>
      <c r="BJ150" s="128"/>
      <c r="BK150" s="166"/>
      <c r="BL150" s="128"/>
      <c r="BM150" s="128"/>
    </row>
    <row r="151" spans="2:65" s="26" customFormat="1" ht="16.5" customHeight="1" x14ac:dyDescent="0.25">
      <c r="B151" s="169"/>
      <c r="C151" s="170">
        <v>40</v>
      </c>
      <c r="D151" s="170" t="s">
        <v>129</v>
      </c>
      <c r="E151" s="171" t="s">
        <v>397</v>
      </c>
      <c r="F151" s="172" t="s">
        <v>401</v>
      </c>
      <c r="G151" s="173" t="s">
        <v>324</v>
      </c>
      <c r="H151" s="174">
        <f>'[1]B -montáž - skúška 1.1'!H153</f>
        <v>12.1</v>
      </c>
      <c r="I151" s="174"/>
      <c r="J151" s="174">
        <f>ROUND(I151*H151,3)</f>
        <v>0</v>
      </c>
      <c r="K151" s="172" t="s">
        <v>9</v>
      </c>
      <c r="L151" s="132"/>
      <c r="M151" s="183" t="s">
        <v>9</v>
      </c>
      <c r="N151" s="184" t="s">
        <v>27</v>
      </c>
      <c r="O151" s="185">
        <v>0.15</v>
      </c>
      <c r="P151" s="185">
        <f>O151*H151</f>
        <v>1.8149999999999999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28" t="s">
        <v>388</v>
      </c>
      <c r="AT151" s="128" t="s">
        <v>129</v>
      </c>
      <c r="AU151" s="128" t="s">
        <v>88</v>
      </c>
      <c r="AY151" s="128" t="s">
        <v>126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28" t="s">
        <v>88</v>
      </c>
      <c r="BK151" s="166">
        <f>ROUND(I151*H151,3)</f>
        <v>0</v>
      </c>
      <c r="BL151" s="128" t="s">
        <v>388</v>
      </c>
      <c r="BM151" s="128" t="s">
        <v>389</v>
      </c>
    </row>
    <row r="152" spans="2:65" s="26" customFormat="1" ht="16.5" customHeight="1" x14ac:dyDescent="0.25">
      <c r="B152" s="169"/>
      <c r="C152" s="194"/>
      <c r="D152" s="194"/>
      <c r="E152" s="195"/>
      <c r="F152" s="196"/>
      <c r="G152" s="197"/>
      <c r="H152" s="198"/>
      <c r="I152" s="198"/>
      <c r="J152" s="198"/>
      <c r="K152" s="196"/>
      <c r="L152" s="132"/>
      <c r="M152" s="128"/>
      <c r="N152" s="176"/>
      <c r="O152" s="177"/>
      <c r="P152" s="177"/>
      <c r="Q152" s="177"/>
      <c r="R152" s="177"/>
      <c r="S152" s="177"/>
      <c r="T152" s="177"/>
      <c r="AR152" s="128"/>
      <c r="AT152" s="128"/>
      <c r="AU152" s="128"/>
      <c r="AY152" s="128"/>
      <c r="BE152" s="138"/>
      <c r="BF152" s="138"/>
      <c r="BG152" s="138"/>
      <c r="BH152" s="138"/>
      <c r="BI152" s="138"/>
      <c r="BJ152" s="128"/>
      <c r="BK152" s="166"/>
      <c r="BL152" s="128"/>
      <c r="BM152" s="128"/>
    </row>
    <row r="153" spans="2:65" s="26" customFormat="1" ht="6.95" customHeight="1" x14ac:dyDescent="0.25">
      <c r="B153" s="141"/>
      <c r="C153" s="36"/>
      <c r="D153" s="36"/>
      <c r="E153" s="36"/>
      <c r="F153" s="36"/>
      <c r="G153" s="36"/>
      <c r="H153" s="36"/>
      <c r="I153" s="36"/>
      <c r="J153" s="36"/>
      <c r="K153" s="36"/>
      <c r="L153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topLeftCell="A79" workbookViewId="0">
      <selection activeCell="I89" sqref="I89:I140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33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56" x14ac:dyDescent="0.2">
      <c r="A1" s="127"/>
    </row>
    <row r="2" spans="1:5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55</v>
      </c>
      <c r="AZ2" s="128" t="s">
        <v>85</v>
      </c>
      <c r="BA2" s="128" t="s">
        <v>86</v>
      </c>
      <c r="BB2" s="128" t="s">
        <v>9</v>
      </c>
      <c r="BC2" s="128" t="s">
        <v>488</v>
      </c>
      <c r="BD2" s="128" t="s">
        <v>88</v>
      </c>
    </row>
    <row r="3" spans="1:5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  <c r="AZ3" s="128" t="s">
        <v>89</v>
      </c>
      <c r="BA3" s="128" t="s">
        <v>90</v>
      </c>
      <c r="BB3" s="128" t="s">
        <v>9</v>
      </c>
      <c r="BC3" s="128" t="s">
        <v>489</v>
      </c>
      <c r="BD3" s="128" t="s">
        <v>88</v>
      </c>
    </row>
    <row r="4" spans="1:56" ht="18" x14ac:dyDescent="0.2">
      <c r="B4" s="130"/>
      <c r="D4" s="131" t="s">
        <v>92</v>
      </c>
      <c r="L4" s="130"/>
      <c r="M4" s="128" t="s">
        <v>93</v>
      </c>
      <c r="AT4" s="128" t="s">
        <v>1</v>
      </c>
      <c r="AZ4" s="128" t="s">
        <v>90</v>
      </c>
      <c r="BA4" s="128" t="s">
        <v>94</v>
      </c>
      <c r="BB4" s="128" t="s">
        <v>9</v>
      </c>
      <c r="BC4" s="128" t="s">
        <v>490</v>
      </c>
      <c r="BD4" s="128" t="s">
        <v>88</v>
      </c>
    </row>
    <row r="5" spans="1:56" x14ac:dyDescent="0.2">
      <c r="B5" s="130"/>
      <c r="L5" s="130"/>
    </row>
    <row r="6" spans="1:56" x14ac:dyDescent="0.2">
      <c r="B6" s="130"/>
      <c r="D6" s="128" t="s">
        <v>7</v>
      </c>
      <c r="L6" s="130"/>
    </row>
    <row r="7" spans="1:5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56" s="26" customFormat="1" x14ac:dyDescent="0.25">
      <c r="B8" s="132"/>
      <c r="D8" s="128" t="s">
        <v>96</v>
      </c>
      <c r="L8" s="132"/>
    </row>
    <row r="9" spans="1:56" s="26" customFormat="1" ht="15" customHeight="1" x14ac:dyDescent="0.25">
      <c r="B9" s="132"/>
      <c r="E9" s="276" t="s">
        <v>500</v>
      </c>
      <c r="F9" s="277"/>
      <c r="G9" s="277"/>
      <c r="H9" s="277"/>
      <c r="L9" s="132"/>
    </row>
    <row r="10" spans="1:56" s="26" customFormat="1" x14ac:dyDescent="0.25">
      <c r="B10" s="132"/>
      <c r="L10" s="132"/>
    </row>
    <row r="11" spans="1:5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5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56" s="26" customFormat="1" x14ac:dyDescent="0.25">
      <c r="B13" s="132"/>
      <c r="L13" s="132"/>
    </row>
    <row r="14" spans="1:5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5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5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ROUND(J86,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ROUND((SUM(BE86:BE138)),  2)</f>
        <v>0</v>
      </c>
      <c r="I33" s="139">
        <v>0.2</v>
      </c>
      <c r="J33" s="138">
        <f>ROUND(((SUM(BE86:BE138))*I33),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ROUND((SUM(BF86:BF138)),  2)</f>
        <v>0</v>
      </c>
      <c r="I34" s="139">
        <v>0.2</v>
      </c>
      <c r="J34" s="138">
        <f>ROUND(((SUM(BF86:BF138))*I34),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ROUND((SUM(BG86:BG138)),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ROUND((SUM(BH86:BH138)),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ROUND((SUM(BI86:BI138)),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C1- demontáž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J86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J87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J88</f>
        <v>0</v>
      </c>
      <c r="L61" s="83"/>
    </row>
    <row r="62" spans="2:47" s="148" customFormat="1" ht="12.75" x14ac:dyDescent="0.25">
      <c r="B62" s="83"/>
      <c r="D62" s="85" t="s">
        <v>104</v>
      </c>
      <c r="E62" s="86"/>
      <c r="F62" s="86"/>
      <c r="G62" s="86"/>
      <c r="H62" s="86"/>
      <c r="I62" s="86"/>
      <c r="J62" s="87">
        <f>J91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J119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J120</f>
        <v>0</v>
      </c>
      <c r="L64" s="83"/>
    </row>
    <row r="65" spans="2:12" s="148" customFormat="1" ht="12.75" x14ac:dyDescent="0.25">
      <c r="B65" s="83"/>
      <c r="D65" s="85" t="s">
        <v>107</v>
      </c>
      <c r="E65" s="86"/>
      <c r="F65" s="86"/>
      <c r="G65" s="86"/>
      <c r="H65" s="86"/>
      <c r="I65" s="86"/>
      <c r="J65" s="87">
        <f>J131</f>
        <v>0</v>
      </c>
      <c r="L65" s="83"/>
    </row>
    <row r="66" spans="2:12" s="148" customFormat="1" ht="12.75" x14ac:dyDescent="0.25">
      <c r="B66" s="83"/>
      <c r="D66" s="85" t="s">
        <v>108</v>
      </c>
      <c r="E66" s="86"/>
      <c r="F66" s="86"/>
      <c r="G66" s="86"/>
      <c r="H66" s="86"/>
      <c r="I66" s="86"/>
      <c r="J66" s="87">
        <f>J137</f>
        <v>0</v>
      </c>
      <c r="L66" s="83"/>
    </row>
    <row r="67" spans="2:12" s="26" customFormat="1" x14ac:dyDescent="0.25">
      <c r="B67" s="132"/>
      <c r="L67" s="132"/>
    </row>
    <row r="68" spans="2:12" s="26" customFormat="1" x14ac:dyDescent="0.25">
      <c r="B68" s="141"/>
      <c r="C68" s="36"/>
      <c r="D68" s="36"/>
      <c r="E68" s="36"/>
      <c r="F68" s="36"/>
      <c r="G68" s="36"/>
      <c r="H68" s="36"/>
      <c r="I68" s="36"/>
      <c r="J68" s="36"/>
      <c r="K68" s="36"/>
      <c r="L68" s="132"/>
    </row>
    <row r="72" spans="2:12" s="26" customFormat="1" x14ac:dyDescent="0.25">
      <c r="B72" s="142"/>
      <c r="C72" s="37"/>
      <c r="D72" s="37"/>
      <c r="E72" s="37"/>
      <c r="F72" s="37"/>
      <c r="G72" s="37"/>
      <c r="H72" s="37"/>
      <c r="I72" s="37"/>
      <c r="J72" s="37"/>
      <c r="K72" s="37"/>
      <c r="L72" s="132"/>
    </row>
    <row r="73" spans="2:12" s="26" customFormat="1" ht="18" x14ac:dyDescent="0.25">
      <c r="B73" s="132"/>
      <c r="C73" s="131" t="s">
        <v>109</v>
      </c>
      <c r="L73" s="132"/>
    </row>
    <row r="74" spans="2:12" s="26" customFormat="1" x14ac:dyDescent="0.25">
      <c r="B74" s="132"/>
      <c r="L74" s="132"/>
    </row>
    <row r="75" spans="2:12" s="26" customFormat="1" x14ac:dyDescent="0.25">
      <c r="B75" s="132"/>
      <c r="C75" s="128" t="s">
        <v>7</v>
      </c>
      <c r="L75" s="132"/>
    </row>
    <row r="76" spans="2:12" s="26" customFormat="1" x14ac:dyDescent="0.25">
      <c r="B76" s="132"/>
      <c r="E76" s="278" t="str">
        <f>E7</f>
        <v>Nemocnica Sv. Cyrila a Metoda v Bratislave</v>
      </c>
      <c r="F76" s="279"/>
      <c r="G76" s="279"/>
      <c r="H76" s="279"/>
      <c r="L76" s="132"/>
    </row>
    <row r="77" spans="2:12" s="26" customFormat="1" x14ac:dyDescent="0.25">
      <c r="B77" s="132"/>
      <c r="C77" s="128" t="s">
        <v>96</v>
      </c>
      <c r="L77" s="132"/>
    </row>
    <row r="78" spans="2:12" s="26" customFormat="1" ht="15" customHeight="1" x14ac:dyDescent="0.25">
      <c r="B78" s="132"/>
      <c r="E78" s="276" t="s">
        <v>491</v>
      </c>
      <c r="F78" s="277"/>
      <c r="G78" s="277"/>
      <c r="H78" s="277"/>
      <c r="L78" s="132"/>
    </row>
    <row r="79" spans="2:12" s="26" customFormat="1" x14ac:dyDescent="0.25">
      <c r="B79" s="132"/>
      <c r="L79" s="132"/>
    </row>
    <row r="80" spans="2:12" s="26" customFormat="1" x14ac:dyDescent="0.25">
      <c r="B80" s="132"/>
      <c r="C80" s="128" t="s">
        <v>11</v>
      </c>
      <c r="F80" s="128" t="str">
        <f>F12</f>
        <v xml:space="preserve"> </v>
      </c>
      <c r="I80" s="128" t="s">
        <v>13</v>
      </c>
      <c r="J80" s="41" t="e">
        <f>IF(J12="","",J12)</f>
        <v>#REF!</v>
      </c>
      <c r="L80" s="132"/>
    </row>
    <row r="81" spans="2:65" s="26" customFormat="1" ht="6.95" customHeight="1" x14ac:dyDescent="0.25">
      <c r="B81" s="132"/>
      <c r="L81" s="132"/>
    </row>
    <row r="82" spans="2:65" s="26" customFormat="1" ht="13.7" customHeight="1" x14ac:dyDescent="0.25">
      <c r="B82" s="132"/>
      <c r="C82" s="128" t="s">
        <v>14</v>
      </c>
      <c r="F82" s="128" t="str">
        <f>E15</f>
        <v xml:space="preserve"> </v>
      </c>
      <c r="I82" s="128" t="s">
        <v>18</v>
      </c>
      <c r="J82" s="143" t="str">
        <f>E21</f>
        <v xml:space="preserve"> </v>
      </c>
      <c r="L82" s="132"/>
    </row>
    <row r="83" spans="2:65" s="26" customFormat="1" ht="13.7" customHeight="1" x14ac:dyDescent="0.25">
      <c r="B83" s="132"/>
      <c r="C83" s="128" t="s">
        <v>17</v>
      </c>
      <c r="F83" s="128" t="str">
        <f>IF(E18="","",E18)</f>
        <v xml:space="preserve"> </v>
      </c>
      <c r="I83" s="128" t="s">
        <v>19</v>
      </c>
      <c r="J83" s="143" t="str">
        <f>E24</f>
        <v xml:space="preserve"> </v>
      </c>
      <c r="L83" s="132"/>
    </row>
    <row r="84" spans="2:65" s="26" customFormat="1" ht="10.35" customHeight="1" x14ac:dyDescent="0.25">
      <c r="B84" s="132"/>
      <c r="L84" s="132"/>
    </row>
    <row r="85" spans="2:65" s="151" customFormat="1" ht="29.25" customHeight="1" x14ac:dyDescent="0.25">
      <c r="B85" s="149"/>
      <c r="C85" s="89" t="s">
        <v>111</v>
      </c>
      <c r="D85" s="90" t="s">
        <v>112</v>
      </c>
      <c r="E85" s="90" t="s">
        <v>35</v>
      </c>
      <c r="F85" s="90" t="s">
        <v>36</v>
      </c>
      <c r="G85" s="90" t="s">
        <v>113</v>
      </c>
      <c r="H85" s="90" t="s">
        <v>114</v>
      </c>
      <c r="I85" s="90" t="s">
        <v>115</v>
      </c>
      <c r="J85" s="91" t="s">
        <v>99</v>
      </c>
      <c r="K85" s="150" t="s">
        <v>116</v>
      </c>
      <c r="L85" s="149"/>
      <c r="M85" s="89" t="s">
        <v>9</v>
      </c>
      <c r="N85" s="90" t="s">
        <v>25</v>
      </c>
      <c r="O85" s="90" t="s">
        <v>117</v>
      </c>
      <c r="P85" s="90" t="s">
        <v>118</v>
      </c>
      <c r="Q85" s="90" t="s">
        <v>119</v>
      </c>
      <c r="R85" s="90" t="s">
        <v>120</v>
      </c>
      <c r="S85" s="90" t="s">
        <v>121</v>
      </c>
      <c r="T85" s="91" t="s">
        <v>122</v>
      </c>
    </row>
    <row r="86" spans="2:65" s="26" customFormat="1" ht="22.9" customHeight="1" x14ac:dyDescent="0.25">
      <c r="B86" s="132"/>
      <c r="C86" s="146" t="s">
        <v>100</v>
      </c>
      <c r="J86" s="152">
        <f>J87+J119</f>
        <v>0</v>
      </c>
      <c r="L86" s="132"/>
      <c r="M86" s="153"/>
      <c r="N86" s="134"/>
      <c r="O86" s="134"/>
      <c r="P86" s="154">
        <f>P87+P119</f>
        <v>1234.0148253</v>
      </c>
      <c r="Q86" s="134"/>
      <c r="R86" s="154">
        <f>R87+R119</f>
        <v>14.242432900000001</v>
      </c>
      <c r="S86" s="134"/>
      <c r="T86" s="155">
        <f>T87+T119</f>
        <v>33.515000000000001</v>
      </c>
      <c r="AT86" s="128" t="s">
        <v>123</v>
      </c>
      <c r="AU86" s="128" t="s">
        <v>101</v>
      </c>
      <c r="BK86" s="156">
        <f>BK87+BK119</f>
        <v>0</v>
      </c>
    </row>
    <row r="87" spans="2:65" s="158" customFormat="1" ht="25.9" customHeight="1" x14ac:dyDescent="0.2">
      <c r="B87" s="157"/>
      <c r="D87" s="159" t="s">
        <v>123</v>
      </c>
      <c r="E87" s="160" t="s">
        <v>124</v>
      </c>
      <c r="F87" s="160" t="s">
        <v>125</v>
      </c>
      <c r="J87" s="161">
        <f>J88+J91</f>
        <v>0</v>
      </c>
      <c r="L87" s="157"/>
      <c r="M87" s="162"/>
      <c r="P87" s="163">
        <f>P88+P91</f>
        <v>707.58814529999995</v>
      </c>
      <c r="R87" s="163">
        <f>R88+R91</f>
        <v>13.564632900000001</v>
      </c>
      <c r="T87" s="164">
        <f>T88+T91</f>
        <v>0</v>
      </c>
      <c r="AR87" s="159" t="s">
        <v>42</v>
      </c>
      <c r="AT87" s="165" t="s">
        <v>123</v>
      </c>
      <c r="AU87" s="165" t="s">
        <v>39</v>
      </c>
      <c r="AY87" s="159" t="s">
        <v>126</v>
      </c>
      <c r="BK87" s="166">
        <f>BK88+BK91</f>
        <v>0</v>
      </c>
    </row>
    <row r="88" spans="2:65" s="158" customFormat="1" ht="22.9" customHeight="1" x14ac:dyDescent="0.2">
      <c r="B88" s="157"/>
      <c r="D88" s="159" t="s">
        <v>123</v>
      </c>
      <c r="E88" s="167" t="s">
        <v>127</v>
      </c>
      <c r="F88" s="167" t="s">
        <v>128</v>
      </c>
      <c r="J88" s="168">
        <f>SUM(J89:J90)</f>
        <v>0</v>
      </c>
      <c r="L88" s="157"/>
      <c r="M88" s="162"/>
      <c r="P88" s="163">
        <f>SUM(P89:P90)</f>
        <v>281.81082929999997</v>
      </c>
      <c r="R88" s="163">
        <f>SUM(R89:R90)</f>
        <v>13.564632900000001</v>
      </c>
      <c r="T88" s="164">
        <f>SUM(T89:T90)</f>
        <v>0</v>
      </c>
      <c r="AR88" s="159" t="s">
        <v>42</v>
      </c>
      <c r="AT88" s="165" t="s">
        <v>123</v>
      </c>
      <c r="AU88" s="165" t="s">
        <v>42</v>
      </c>
      <c r="AY88" s="159" t="s">
        <v>126</v>
      </c>
      <c r="BK88" s="166">
        <f>SUM(BK89:BK90)</f>
        <v>0</v>
      </c>
    </row>
    <row r="89" spans="2:65" s="26" customFormat="1" ht="16.5" customHeight="1" x14ac:dyDescent="0.25">
      <c r="B89" s="169"/>
      <c r="C89" s="170" t="s">
        <v>42</v>
      </c>
      <c r="D89" s="170" t="s">
        <v>129</v>
      </c>
      <c r="E89" s="171" t="s">
        <v>130</v>
      </c>
      <c r="F89" s="172" t="s">
        <v>131</v>
      </c>
      <c r="G89" s="173" t="s">
        <v>89</v>
      </c>
      <c r="H89" s="174">
        <f>210*1.1*0.1*1.15</f>
        <v>26.565000000000005</v>
      </c>
      <c r="I89" s="174"/>
      <c r="J89" s="174">
        <f>ROUND(I89*H89,3)</f>
        <v>0</v>
      </c>
      <c r="K89" s="172" t="s">
        <v>9</v>
      </c>
      <c r="L89" s="132"/>
      <c r="M89" s="175" t="s">
        <v>9</v>
      </c>
      <c r="N89" s="176" t="s">
        <v>27</v>
      </c>
      <c r="O89" s="177">
        <v>0.42921999999999999</v>
      </c>
      <c r="P89" s="177">
        <f>O89*H89</f>
        <v>11.402229300000002</v>
      </c>
      <c r="Q89" s="177">
        <v>2.0660000000000001E-2</v>
      </c>
      <c r="R89" s="177">
        <f>Q89*H89</f>
        <v>0.54883290000000018</v>
      </c>
      <c r="S89" s="177">
        <v>0</v>
      </c>
      <c r="T89" s="178">
        <f>S89*H89</f>
        <v>0</v>
      </c>
      <c r="AR89" s="128" t="s">
        <v>132</v>
      </c>
      <c r="AT89" s="128" t="s">
        <v>129</v>
      </c>
      <c r="AU89" s="128" t="s">
        <v>88</v>
      </c>
      <c r="AY89" s="128" t="s">
        <v>126</v>
      </c>
      <c r="BE89" s="138">
        <f>IF(N89="základná",J89,0)</f>
        <v>0</v>
      </c>
      <c r="BF89" s="138">
        <f>IF(N89="znížená",J89,0)</f>
        <v>0</v>
      </c>
      <c r="BG89" s="138">
        <f>IF(N89="zákl. prenesená",J89,0)</f>
        <v>0</v>
      </c>
      <c r="BH89" s="138">
        <f>IF(N89="zníž. prenesená",J89,0)</f>
        <v>0</v>
      </c>
      <c r="BI89" s="138">
        <f>IF(N89="nulová",J89,0)</f>
        <v>0</v>
      </c>
      <c r="BJ89" s="128" t="s">
        <v>88</v>
      </c>
      <c r="BK89" s="166">
        <f>ROUND(I89*H89,3)</f>
        <v>0</v>
      </c>
      <c r="BL89" s="128" t="s">
        <v>132</v>
      </c>
      <c r="BM89" s="128" t="s">
        <v>133</v>
      </c>
    </row>
    <row r="90" spans="2:65" s="26" customFormat="1" ht="16.5" customHeight="1" x14ac:dyDescent="0.25">
      <c r="B90" s="169"/>
      <c r="C90" s="170" t="s">
        <v>88</v>
      </c>
      <c r="D90" s="170" t="s">
        <v>129</v>
      </c>
      <c r="E90" s="171" t="s">
        <v>134</v>
      </c>
      <c r="F90" s="172" t="s">
        <v>135</v>
      </c>
      <c r="G90" s="173" t="s">
        <v>136</v>
      </c>
      <c r="H90" s="174">
        <v>630</v>
      </c>
      <c r="I90" s="174"/>
      <c r="J90" s="174">
        <f>ROUND(I90*H90,3)</f>
        <v>0</v>
      </c>
      <c r="K90" s="172" t="s">
        <v>9</v>
      </c>
      <c r="L90" s="132"/>
      <c r="M90" s="175" t="s">
        <v>9</v>
      </c>
      <c r="N90" s="176" t="s">
        <v>27</v>
      </c>
      <c r="O90" s="177">
        <v>0.42921999999999999</v>
      </c>
      <c r="P90" s="177">
        <f>O90*H90</f>
        <v>270.40859999999998</v>
      </c>
      <c r="Q90" s="177">
        <v>2.0660000000000001E-2</v>
      </c>
      <c r="R90" s="177">
        <f>Q90*H90</f>
        <v>13.0158</v>
      </c>
      <c r="S90" s="177">
        <v>0</v>
      </c>
      <c r="T90" s="178">
        <f>S90*H90</f>
        <v>0</v>
      </c>
      <c r="AR90" s="128" t="s">
        <v>132</v>
      </c>
      <c r="AT90" s="128" t="s">
        <v>129</v>
      </c>
      <c r="AU90" s="128" t="s">
        <v>88</v>
      </c>
      <c r="AY90" s="128" t="s">
        <v>126</v>
      </c>
      <c r="BE90" s="138">
        <f>IF(N90="základná",J90,0)</f>
        <v>0</v>
      </c>
      <c r="BF90" s="138">
        <f>IF(N90="znížená",J90,0)</f>
        <v>0</v>
      </c>
      <c r="BG90" s="138">
        <f>IF(N90="zákl. prenesená",J90,0)</f>
        <v>0</v>
      </c>
      <c r="BH90" s="138">
        <f>IF(N90="zníž. prenesená",J90,0)</f>
        <v>0</v>
      </c>
      <c r="BI90" s="138">
        <f>IF(N90="nulová",J90,0)</f>
        <v>0</v>
      </c>
      <c r="BJ90" s="128" t="s">
        <v>88</v>
      </c>
      <c r="BK90" s="166">
        <f>ROUND(I90*H90,3)</f>
        <v>0</v>
      </c>
      <c r="BL90" s="128" t="s">
        <v>132</v>
      </c>
      <c r="BM90" s="128" t="s">
        <v>137</v>
      </c>
    </row>
    <row r="91" spans="2:65" s="158" customFormat="1" ht="22.9" customHeight="1" x14ac:dyDescent="0.2">
      <c r="B91" s="157"/>
      <c r="D91" s="159" t="s">
        <v>123</v>
      </c>
      <c r="E91" s="167" t="s">
        <v>138</v>
      </c>
      <c r="F91" s="167" t="s">
        <v>139</v>
      </c>
      <c r="J91" s="168">
        <f>SUM(J92:J117)</f>
        <v>0</v>
      </c>
      <c r="L91" s="157"/>
      <c r="M91" s="162"/>
      <c r="P91" s="163">
        <f>SUM(P96:P118)</f>
        <v>425.77731600000004</v>
      </c>
      <c r="R91" s="163">
        <f>SUM(R96:R118)</f>
        <v>0</v>
      </c>
      <c r="T91" s="164">
        <f>SUM(T96:T118)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SUM(BK96:BK118)</f>
        <v>0</v>
      </c>
    </row>
    <row r="92" spans="2:65" s="26" customFormat="1" ht="16.5" customHeight="1" x14ac:dyDescent="0.25">
      <c r="B92" s="169"/>
      <c r="C92" s="170">
        <v>3</v>
      </c>
      <c r="D92" s="170" t="s">
        <v>129</v>
      </c>
      <c r="E92" s="171" t="s">
        <v>144</v>
      </c>
      <c r="F92" s="172" t="s">
        <v>145</v>
      </c>
      <c r="G92" s="173" t="s">
        <v>146</v>
      </c>
      <c r="H92" s="174">
        <f>H96+H104+H111</f>
        <v>90.175000000000011</v>
      </c>
      <c r="I92" s="174"/>
      <c r="J92" s="174">
        <f>ROUND(I92*H92,3)</f>
        <v>0</v>
      </c>
      <c r="K92" s="172" t="s">
        <v>9</v>
      </c>
      <c r="L92" s="132"/>
      <c r="M92" s="175" t="s">
        <v>9</v>
      </c>
      <c r="N92" s="176" t="s">
        <v>27</v>
      </c>
      <c r="O92" s="177">
        <v>0.89</v>
      </c>
      <c r="P92" s="177">
        <f>O92*H92</f>
        <v>80.255750000000006</v>
      </c>
      <c r="Q92" s="177">
        <v>0</v>
      </c>
      <c r="R92" s="177">
        <f>Q92*H92</f>
        <v>0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147</v>
      </c>
    </row>
    <row r="93" spans="2:65" s="26" customFormat="1" ht="16.5" customHeight="1" x14ac:dyDescent="0.25">
      <c r="B93" s="169"/>
      <c r="C93" s="170">
        <v>4</v>
      </c>
      <c r="D93" s="170"/>
      <c r="E93" s="171" t="s">
        <v>148</v>
      </c>
      <c r="F93" s="172" t="s">
        <v>149</v>
      </c>
      <c r="G93" s="173" t="s">
        <v>146</v>
      </c>
      <c r="H93" s="174">
        <f>H92*10</f>
        <v>901.75000000000011</v>
      </c>
      <c r="I93" s="174"/>
      <c r="J93" s="174">
        <f t="shared" ref="J93:J95" si="0">ROUND(I93*H93,3)</f>
        <v>0</v>
      </c>
      <c r="K93" s="172"/>
      <c r="L93" s="132"/>
      <c r="M93" s="175"/>
      <c r="N93" s="176"/>
      <c r="O93" s="177"/>
      <c r="P93" s="177"/>
      <c r="Q93" s="177"/>
      <c r="R93" s="177"/>
      <c r="S93" s="177"/>
      <c r="T93" s="178"/>
      <c r="AR93" s="128"/>
      <c r="AT93" s="128"/>
      <c r="AU93" s="128"/>
      <c r="AY93" s="128"/>
      <c r="BE93" s="138"/>
      <c r="BF93" s="138"/>
      <c r="BG93" s="138"/>
      <c r="BH93" s="138"/>
      <c r="BI93" s="138"/>
      <c r="BJ93" s="128"/>
      <c r="BK93" s="166"/>
      <c r="BL93" s="128"/>
      <c r="BM93" s="128"/>
    </row>
    <row r="94" spans="2:65" s="26" customFormat="1" ht="16.5" customHeight="1" x14ac:dyDescent="0.25">
      <c r="B94" s="169"/>
      <c r="C94" s="170"/>
      <c r="D94" s="170"/>
      <c r="E94" s="171"/>
      <c r="F94" s="172" t="s">
        <v>150</v>
      </c>
      <c r="I94" s="174"/>
      <c r="J94" s="174"/>
      <c r="K94" s="172"/>
      <c r="L94" s="132"/>
      <c r="M94" s="175"/>
      <c r="N94" s="176"/>
      <c r="O94" s="177"/>
      <c r="P94" s="177"/>
      <c r="Q94" s="177"/>
      <c r="R94" s="177"/>
      <c r="S94" s="177"/>
      <c r="T94" s="178"/>
      <c r="AR94" s="128"/>
      <c r="AT94" s="128"/>
      <c r="AU94" s="128"/>
      <c r="AY94" s="128"/>
      <c r="BE94" s="138"/>
      <c r="BF94" s="138"/>
      <c r="BG94" s="138"/>
      <c r="BH94" s="138"/>
      <c r="BI94" s="138"/>
      <c r="BJ94" s="128"/>
      <c r="BK94" s="166"/>
      <c r="BL94" s="128"/>
      <c r="BM94" s="128"/>
    </row>
    <row r="95" spans="2:65" s="26" customFormat="1" ht="16.5" customHeight="1" x14ac:dyDescent="0.25">
      <c r="B95" s="169"/>
      <c r="C95" s="170">
        <v>5</v>
      </c>
      <c r="D95" s="170"/>
      <c r="E95" s="171" t="s">
        <v>151</v>
      </c>
      <c r="F95" s="172" t="s">
        <v>152</v>
      </c>
      <c r="G95" s="173" t="s">
        <v>153</v>
      </c>
      <c r="H95" s="174">
        <v>1</v>
      </c>
      <c r="I95" s="174"/>
      <c r="J95" s="174">
        <f t="shared" si="0"/>
        <v>0</v>
      </c>
      <c r="K95" s="172"/>
      <c r="L95" s="132"/>
      <c r="M95" s="175"/>
      <c r="N95" s="176"/>
      <c r="O95" s="177"/>
      <c r="P95" s="177"/>
      <c r="Q95" s="177"/>
      <c r="R95" s="177"/>
      <c r="S95" s="177"/>
      <c r="T95" s="178"/>
      <c r="AR95" s="128"/>
      <c r="AT95" s="128"/>
      <c r="AU95" s="128"/>
      <c r="AY95" s="128"/>
      <c r="BE95" s="138"/>
      <c r="BF95" s="138"/>
      <c r="BG95" s="138"/>
      <c r="BH95" s="138"/>
      <c r="BI95" s="138"/>
      <c r="BJ95" s="128"/>
      <c r="BK95" s="166"/>
      <c r="BL95" s="128"/>
      <c r="BM95" s="128"/>
    </row>
    <row r="96" spans="2:65" s="26" customFormat="1" ht="30.6" customHeight="1" x14ac:dyDescent="0.25">
      <c r="B96" s="169"/>
      <c r="C96" s="170">
        <v>6</v>
      </c>
      <c r="D96" s="170" t="s">
        <v>129</v>
      </c>
      <c r="E96" s="171" t="s">
        <v>154</v>
      </c>
      <c r="F96" s="172" t="s">
        <v>155</v>
      </c>
      <c r="G96" s="173" t="s">
        <v>146</v>
      </c>
      <c r="H96" s="174">
        <v>25.218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</v>
      </c>
      <c r="P96" s="177">
        <f>O96*H96</f>
        <v>0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157</v>
      </c>
    </row>
    <row r="97" spans="2:65" s="26" customFormat="1" ht="16.5" customHeight="1" x14ac:dyDescent="0.25">
      <c r="B97" s="169"/>
      <c r="C97" s="170">
        <v>7</v>
      </c>
      <c r="D97" s="170" t="s">
        <v>129</v>
      </c>
      <c r="E97" s="171" t="s">
        <v>158</v>
      </c>
      <c r="F97" s="172" t="s">
        <v>159</v>
      </c>
      <c r="G97" s="173" t="s">
        <v>146</v>
      </c>
      <c r="H97" s="174">
        <f>H96</f>
        <v>25.218</v>
      </c>
      <c r="I97" s="174"/>
      <c r="J97" s="174">
        <f>ROUND(I97*H97,3)</f>
        <v>0</v>
      </c>
      <c r="K97" s="172" t="s">
        <v>9</v>
      </c>
      <c r="L97" s="132"/>
      <c r="M97" s="175" t="s">
        <v>9</v>
      </c>
      <c r="N97" s="176" t="s">
        <v>27</v>
      </c>
      <c r="O97" s="177">
        <v>0.88200000000000001</v>
      </c>
      <c r="P97" s="177">
        <f>O97*H97</f>
        <v>22.242276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28" t="s">
        <v>132</v>
      </c>
      <c r="AT97" s="128" t="s">
        <v>129</v>
      </c>
      <c r="AU97" s="128" t="s">
        <v>88</v>
      </c>
      <c r="AY97" s="128" t="s">
        <v>126</v>
      </c>
      <c r="BE97" s="138">
        <f>IF(N97="základná",J97,0)</f>
        <v>0</v>
      </c>
      <c r="BF97" s="138">
        <f>IF(N97="znížená",J97,0)</f>
        <v>0</v>
      </c>
      <c r="BG97" s="138">
        <f>IF(N97="zákl. prenesená",J97,0)</f>
        <v>0</v>
      </c>
      <c r="BH97" s="138">
        <f>IF(N97="zníž. prenesená",J97,0)</f>
        <v>0</v>
      </c>
      <c r="BI97" s="138">
        <f>IF(N97="nulová",J97,0)</f>
        <v>0</v>
      </c>
      <c r="BJ97" s="128" t="s">
        <v>88</v>
      </c>
      <c r="BK97" s="166">
        <f>ROUND(I97*H97,3)</f>
        <v>0</v>
      </c>
      <c r="BL97" s="128" t="s">
        <v>132</v>
      </c>
      <c r="BM97" s="128" t="s">
        <v>160</v>
      </c>
    </row>
    <row r="98" spans="2:65" s="26" customFormat="1" ht="16.5" customHeight="1" x14ac:dyDescent="0.25">
      <c r="B98" s="169"/>
      <c r="C98" s="170">
        <v>8</v>
      </c>
      <c r="D98" s="170" t="s">
        <v>129</v>
      </c>
      <c r="E98" s="171" t="s">
        <v>164</v>
      </c>
      <c r="F98" s="172" t="s">
        <v>165</v>
      </c>
      <c r="G98" s="173" t="s">
        <v>146</v>
      </c>
      <c r="H98" s="174">
        <f>H97*5</f>
        <v>126.09</v>
      </c>
      <c r="I98" s="174"/>
      <c r="J98" s="174">
        <f>ROUND(I98*H98,3)</f>
        <v>0</v>
      </c>
      <c r="K98" s="172" t="s">
        <v>156</v>
      </c>
      <c r="L98" s="132"/>
      <c r="M98" s="175" t="s">
        <v>9</v>
      </c>
      <c r="N98" s="176" t="s">
        <v>27</v>
      </c>
      <c r="O98" s="177">
        <v>0.61799999999999999</v>
      </c>
      <c r="P98" s="177">
        <f>O98*H98</f>
        <v>77.92362</v>
      </c>
      <c r="Q98" s="177">
        <v>0</v>
      </c>
      <c r="R98" s="177">
        <f>Q98*H98</f>
        <v>0</v>
      </c>
      <c r="S98" s="177">
        <v>0</v>
      </c>
      <c r="T98" s="178">
        <f>S98*H98</f>
        <v>0</v>
      </c>
      <c r="AR98" s="128" t="s">
        <v>132</v>
      </c>
      <c r="AT98" s="128" t="s">
        <v>129</v>
      </c>
      <c r="AU98" s="128" t="s">
        <v>88</v>
      </c>
      <c r="AY98" s="128" t="s">
        <v>126</v>
      </c>
      <c r="BE98" s="138">
        <f>IF(N98="základná",J98,0)</f>
        <v>0</v>
      </c>
      <c r="BF98" s="138">
        <f>IF(N98="znížená",J98,0)</f>
        <v>0</v>
      </c>
      <c r="BG98" s="138">
        <f>IF(N98="zákl. prenesená",J98,0)</f>
        <v>0</v>
      </c>
      <c r="BH98" s="138">
        <f>IF(N98="zníž. prenesená",J98,0)</f>
        <v>0</v>
      </c>
      <c r="BI98" s="138">
        <f>IF(N98="nulová",J98,0)</f>
        <v>0</v>
      </c>
      <c r="BJ98" s="128" t="s">
        <v>88</v>
      </c>
      <c r="BK98" s="166">
        <f>ROUND(I98*H98,3)</f>
        <v>0</v>
      </c>
      <c r="BL98" s="128" t="s">
        <v>132</v>
      </c>
      <c r="BM98" s="128" t="s">
        <v>166</v>
      </c>
    </row>
    <row r="99" spans="2:65" s="26" customFormat="1" x14ac:dyDescent="0.25">
      <c r="B99" s="132"/>
      <c r="D99" s="179" t="s">
        <v>161</v>
      </c>
      <c r="E99" s="128" t="s">
        <v>9</v>
      </c>
      <c r="F99" s="143" t="s">
        <v>492</v>
      </c>
      <c r="H99" s="166">
        <v>126.09</v>
      </c>
      <c r="L99" s="132"/>
      <c r="M99" s="180"/>
      <c r="T99" s="181"/>
      <c r="AT99" s="128" t="s">
        <v>161</v>
      </c>
      <c r="AU99" s="128" t="s">
        <v>88</v>
      </c>
      <c r="AV99" s="26" t="s">
        <v>88</v>
      </c>
      <c r="AW99" s="26" t="s">
        <v>163</v>
      </c>
      <c r="AX99" s="26" t="s">
        <v>42</v>
      </c>
      <c r="AY99" s="128" t="s">
        <v>126</v>
      </c>
    </row>
    <row r="100" spans="2:65" s="26" customFormat="1" ht="16.5" customHeight="1" x14ac:dyDescent="0.25">
      <c r="B100" s="169"/>
      <c r="C100" s="170">
        <v>9</v>
      </c>
      <c r="D100" s="170" t="s">
        <v>129</v>
      </c>
      <c r="E100" s="171" t="s">
        <v>167</v>
      </c>
      <c r="F100" s="172" t="s">
        <v>168</v>
      </c>
      <c r="G100" s="173" t="s">
        <v>146</v>
      </c>
      <c r="H100" s="174">
        <v>25.218</v>
      </c>
      <c r="I100" s="174"/>
      <c r="J100" s="174">
        <f>ROUND(I100*H100,3)</f>
        <v>0</v>
      </c>
      <c r="K100" s="172" t="s">
        <v>156</v>
      </c>
      <c r="L100" s="132"/>
      <c r="M100" s="175" t="s">
        <v>9</v>
      </c>
      <c r="N100" s="176" t="s">
        <v>27</v>
      </c>
      <c r="O100" s="177">
        <v>0.59799999999999998</v>
      </c>
      <c r="P100" s="177">
        <f>O100*H100</f>
        <v>15.080363999999999</v>
      </c>
      <c r="Q100" s="177">
        <v>0</v>
      </c>
      <c r="R100" s="177">
        <f>Q100*H100</f>
        <v>0</v>
      </c>
      <c r="S100" s="177">
        <v>0</v>
      </c>
      <c r="T100" s="178">
        <f>S100*H100</f>
        <v>0</v>
      </c>
      <c r="AR100" s="128" t="s">
        <v>132</v>
      </c>
      <c r="AT100" s="128" t="s">
        <v>129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132</v>
      </c>
      <c r="BM100" s="128" t="s">
        <v>169</v>
      </c>
    </row>
    <row r="101" spans="2:65" s="26" customFormat="1" x14ac:dyDescent="0.25">
      <c r="B101" s="132"/>
      <c r="D101" s="179" t="s">
        <v>161</v>
      </c>
      <c r="E101" s="128" t="s">
        <v>9</v>
      </c>
      <c r="F101" s="143" t="s">
        <v>162</v>
      </c>
      <c r="H101" s="166">
        <v>25.218</v>
      </c>
      <c r="L101" s="132"/>
      <c r="M101" s="180"/>
      <c r="T101" s="181"/>
      <c r="AT101" s="128" t="s">
        <v>161</v>
      </c>
      <c r="AU101" s="128" t="s">
        <v>88</v>
      </c>
      <c r="AV101" s="26" t="s">
        <v>88</v>
      </c>
      <c r="AW101" s="26" t="s">
        <v>163</v>
      </c>
      <c r="AX101" s="26" t="s">
        <v>42</v>
      </c>
      <c r="AY101" s="128" t="s">
        <v>126</v>
      </c>
    </row>
    <row r="102" spans="2:65" s="26" customFormat="1" ht="16.5" customHeight="1" x14ac:dyDescent="0.25">
      <c r="B102" s="169"/>
      <c r="C102" s="170">
        <v>10</v>
      </c>
      <c r="D102" s="170" t="s">
        <v>129</v>
      </c>
      <c r="E102" s="171" t="s">
        <v>170</v>
      </c>
      <c r="F102" s="172" t="s">
        <v>171</v>
      </c>
      <c r="G102" s="173" t="s">
        <v>146</v>
      </c>
      <c r="H102" s="174">
        <v>353.05200000000002</v>
      </c>
      <c r="I102" s="174"/>
      <c r="J102" s="174">
        <f>ROUND(I102*H102,3)</f>
        <v>0</v>
      </c>
      <c r="K102" s="172" t="s">
        <v>156</v>
      </c>
      <c r="L102" s="132"/>
      <c r="M102" s="175" t="s">
        <v>9</v>
      </c>
      <c r="N102" s="176" t="s">
        <v>27</v>
      </c>
      <c r="O102" s="177">
        <v>7.0000000000000001E-3</v>
      </c>
      <c r="P102" s="177">
        <f>O102*H102</f>
        <v>2.4713640000000003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28" t="s">
        <v>132</v>
      </c>
      <c r="AT102" s="128" t="s">
        <v>129</v>
      </c>
      <c r="AU102" s="128" t="s">
        <v>88</v>
      </c>
      <c r="AY102" s="128" t="s">
        <v>126</v>
      </c>
      <c r="BE102" s="138">
        <f>IF(N102="základná",J102,0)</f>
        <v>0</v>
      </c>
      <c r="BF102" s="138">
        <f>IF(N102="znížená",J102,0)</f>
        <v>0</v>
      </c>
      <c r="BG102" s="138">
        <f>IF(N102="zákl. prenesená",J102,0)</f>
        <v>0</v>
      </c>
      <c r="BH102" s="138">
        <f>IF(N102="zníž. prenesená",J102,0)</f>
        <v>0</v>
      </c>
      <c r="BI102" s="138">
        <f>IF(N102="nulová",J102,0)</f>
        <v>0</v>
      </c>
      <c r="BJ102" s="128" t="s">
        <v>88</v>
      </c>
      <c r="BK102" s="166">
        <f>ROUND(I102*H102,3)</f>
        <v>0</v>
      </c>
      <c r="BL102" s="128" t="s">
        <v>132</v>
      </c>
      <c r="BM102" s="128" t="s">
        <v>172</v>
      </c>
    </row>
    <row r="103" spans="2:65" s="26" customFormat="1" x14ac:dyDescent="0.25">
      <c r="B103" s="132"/>
      <c r="D103" s="179" t="s">
        <v>161</v>
      </c>
      <c r="E103" s="128" t="s">
        <v>9</v>
      </c>
      <c r="F103" s="143" t="s">
        <v>173</v>
      </c>
      <c r="H103" s="166">
        <v>353.05200000000002</v>
      </c>
      <c r="L103" s="132"/>
      <c r="M103" s="180"/>
      <c r="T103" s="181"/>
      <c r="AT103" s="128" t="s">
        <v>161</v>
      </c>
      <c r="AU103" s="128" t="s">
        <v>88</v>
      </c>
      <c r="AV103" s="26" t="s">
        <v>88</v>
      </c>
      <c r="AW103" s="26" t="s">
        <v>163</v>
      </c>
      <c r="AX103" s="26" t="s">
        <v>42</v>
      </c>
      <c r="AY103" s="128" t="s">
        <v>126</v>
      </c>
    </row>
    <row r="104" spans="2:65" s="26" customFormat="1" ht="16.5" customHeight="1" x14ac:dyDescent="0.25">
      <c r="B104" s="169"/>
      <c r="C104" s="170">
        <v>11</v>
      </c>
      <c r="D104" s="170" t="s">
        <v>129</v>
      </c>
      <c r="E104" s="171" t="s">
        <v>174</v>
      </c>
      <c r="F104" s="172" t="s">
        <v>175</v>
      </c>
      <c r="G104" s="173" t="s">
        <v>146</v>
      </c>
      <c r="H104" s="174">
        <f>H89*2.2</f>
        <v>58.443000000000012</v>
      </c>
      <c r="I104" s="174"/>
      <c r="J104" s="174">
        <f>ROUND(I104*H104,3)</f>
        <v>0</v>
      </c>
      <c r="K104" s="172" t="s">
        <v>156</v>
      </c>
      <c r="L104" s="132"/>
      <c r="M104" s="175" t="s">
        <v>9</v>
      </c>
      <c r="N104" s="176" t="s">
        <v>27</v>
      </c>
      <c r="O104" s="177">
        <v>0</v>
      </c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28" t="s">
        <v>132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132</v>
      </c>
      <c r="BM104" s="128" t="s">
        <v>176</v>
      </c>
    </row>
    <row r="105" spans="2:65" s="26" customFormat="1" ht="16.5" customHeight="1" x14ac:dyDescent="0.25">
      <c r="B105" s="169"/>
      <c r="C105" s="170">
        <v>12</v>
      </c>
      <c r="D105" s="170" t="s">
        <v>129</v>
      </c>
      <c r="E105" s="171" t="s">
        <v>158</v>
      </c>
      <c r="F105" s="172" t="s">
        <v>159</v>
      </c>
      <c r="G105" s="173" t="s">
        <v>146</v>
      </c>
      <c r="H105" s="174">
        <f>H104</f>
        <v>58.443000000000012</v>
      </c>
      <c r="I105" s="174"/>
      <c r="J105" s="174">
        <f>ROUND(I105*H105,3)</f>
        <v>0</v>
      </c>
      <c r="K105" s="172" t="s">
        <v>9</v>
      </c>
      <c r="L105" s="132"/>
      <c r="M105" s="175" t="s">
        <v>9</v>
      </c>
      <c r="N105" s="176" t="s">
        <v>27</v>
      </c>
      <c r="O105" s="177">
        <v>0.88200000000000001</v>
      </c>
      <c r="P105" s="177">
        <f>O105*H105</f>
        <v>51.546726000000014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128" t="s">
        <v>132</v>
      </c>
      <c r="AT105" s="128" t="s">
        <v>129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132</v>
      </c>
      <c r="BM105" s="128" t="s">
        <v>177</v>
      </c>
    </row>
    <row r="106" spans="2:65" s="26" customFormat="1" ht="16.5" customHeight="1" x14ac:dyDescent="0.25">
      <c r="B106" s="169"/>
      <c r="C106" s="170">
        <v>13</v>
      </c>
      <c r="D106" s="170" t="s">
        <v>129</v>
      </c>
      <c r="E106" s="171" t="s">
        <v>164</v>
      </c>
      <c r="F106" s="172" t="s">
        <v>165</v>
      </c>
      <c r="G106" s="173" t="s">
        <v>146</v>
      </c>
      <c r="H106" s="174">
        <f>H104*5</f>
        <v>292.21500000000003</v>
      </c>
      <c r="I106" s="174"/>
      <c r="J106" s="174">
        <f>ROUND(I106*H106,3)</f>
        <v>0</v>
      </c>
      <c r="K106" s="172" t="s">
        <v>156</v>
      </c>
      <c r="L106" s="132"/>
      <c r="M106" s="175" t="s">
        <v>9</v>
      </c>
      <c r="N106" s="176" t="s">
        <v>27</v>
      </c>
      <c r="O106" s="177">
        <v>0.61799999999999999</v>
      </c>
      <c r="P106" s="177">
        <f>O106*H106</f>
        <v>180.58887000000001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128" t="s">
        <v>132</v>
      </c>
      <c r="AT106" s="128" t="s">
        <v>129</v>
      </c>
      <c r="AU106" s="128" t="s">
        <v>88</v>
      </c>
      <c r="AY106" s="128" t="s">
        <v>126</v>
      </c>
      <c r="BE106" s="138">
        <f>IF(N106="základná",J106,0)</f>
        <v>0</v>
      </c>
      <c r="BF106" s="138">
        <f>IF(N106="znížená",J106,0)</f>
        <v>0</v>
      </c>
      <c r="BG106" s="138">
        <f>IF(N106="zákl. prenesená",J106,0)</f>
        <v>0</v>
      </c>
      <c r="BH106" s="138">
        <f>IF(N106="zníž. prenesená",J106,0)</f>
        <v>0</v>
      </c>
      <c r="BI106" s="138">
        <f>IF(N106="nulová",J106,0)</f>
        <v>0</v>
      </c>
      <c r="BJ106" s="128" t="s">
        <v>88</v>
      </c>
      <c r="BK106" s="166">
        <f>ROUND(I106*H106,3)</f>
        <v>0</v>
      </c>
      <c r="BL106" s="128" t="s">
        <v>132</v>
      </c>
      <c r="BM106" s="128" t="s">
        <v>178</v>
      </c>
    </row>
    <row r="107" spans="2:65" s="26" customFormat="1" x14ac:dyDescent="0.25">
      <c r="B107" s="132"/>
      <c r="D107" s="179" t="s">
        <v>161</v>
      </c>
      <c r="E107" s="128" t="s">
        <v>9</v>
      </c>
      <c r="F107" s="143" t="s">
        <v>493</v>
      </c>
      <c r="H107" s="166"/>
      <c r="L107" s="132"/>
      <c r="M107" s="180"/>
      <c r="T107" s="181"/>
      <c r="AT107" s="128" t="s">
        <v>161</v>
      </c>
      <c r="AU107" s="128" t="s">
        <v>88</v>
      </c>
      <c r="AV107" s="26" t="s">
        <v>88</v>
      </c>
      <c r="AW107" s="26" t="s">
        <v>163</v>
      </c>
      <c r="AX107" s="26" t="s">
        <v>42</v>
      </c>
      <c r="AY107" s="128" t="s">
        <v>126</v>
      </c>
    </row>
    <row r="108" spans="2:65" s="26" customFormat="1" ht="16.5" customHeight="1" x14ac:dyDescent="0.25">
      <c r="B108" s="169"/>
      <c r="C108" s="170">
        <v>14</v>
      </c>
      <c r="D108" s="170" t="s">
        <v>129</v>
      </c>
      <c r="E108" s="171" t="s">
        <v>167</v>
      </c>
      <c r="F108" s="172" t="s">
        <v>168</v>
      </c>
      <c r="G108" s="173" t="s">
        <v>146</v>
      </c>
      <c r="H108" s="174">
        <f>H105</f>
        <v>58.443000000000012</v>
      </c>
      <c r="I108" s="174"/>
      <c r="J108" s="174">
        <f>ROUND(I108*H108,3)</f>
        <v>0</v>
      </c>
      <c r="K108" s="172" t="s">
        <v>156</v>
      </c>
      <c r="L108" s="132"/>
      <c r="M108" s="175" t="s">
        <v>9</v>
      </c>
      <c r="N108" s="176" t="s">
        <v>27</v>
      </c>
      <c r="O108" s="177">
        <v>0.59799999999999998</v>
      </c>
      <c r="P108" s="177">
        <f>O108*H108</f>
        <v>34.948914000000009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132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132</v>
      </c>
      <c r="BM108" s="128" t="s">
        <v>179</v>
      </c>
    </row>
    <row r="109" spans="2:65" s="26" customFormat="1" ht="16.5" customHeight="1" x14ac:dyDescent="0.25">
      <c r="B109" s="169"/>
      <c r="C109" s="170">
        <v>15</v>
      </c>
      <c r="D109" s="170" t="s">
        <v>129</v>
      </c>
      <c r="E109" s="171" t="s">
        <v>170</v>
      </c>
      <c r="F109" s="172" t="s">
        <v>171</v>
      </c>
      <c r="G109" s="173" t="s">
        <v>146</v>
      </c>
      <c r="H109" s="174">
        <f>H104*14</f>
        <v>818.20200000000023</v>
      </c>
      <c r="I109" s="174"/>
      <c r="J109" s="174">
        <f>ROUND(I109*H109,3)</f>
        <v>0</v>
      </c>
      <c r="K109" s="172" t="s">
        <v>156</v>
      </c>
      <c r="L109" s="132"/>
      <c r="M109" s="175" t="s">
        <v>9</v>
      </c>
      <c r="N109" s="176" t="s">
        <v>27</v>
      </c>
      <c r="O109" s="177">
        <v>7.0000000000000001E-3</v>
      </c>
      <c r="P109" s="177">
        <f>O109*H109</f>
        <v>5.7274140000000013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AR109" s="128" t="s">
        <v>132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132</v>
      </c>
      <c r="BM109" s="128" t="s">
        <v>180</v>
      </c>
    </row>
    <row r="110" spans="2:65" s="26" customFormat="1" x14ac:dyDescent="0.25">
      <c r="B110" s="132"/>
      <c r="D110" s="179" t="s">
        <v>161</v>
      </c>
      <c r="E110" s="128" t="s">
        <v>9</v>
      </c>
      <c r="F110" s="143" t="s">
        <v>494</v>
      </c>
      <c r="H110" s="166"/>
      <c r="L110" s="132"/>
      <c r="M110" s="180"/>
      <c r="T110" s="181"/>
      <c r="AT110" s="128" t="s">
        <v>161</v>
      </c>
      <c r="AU110" s="128" t="s">
        <v>88</v>
      </c>
      <c r="AV110" s="26" t="s">
        <v>88</v>
      </c>
      <c r="AW110" s="26" t="s">
        <v>163</v>
      </c>
      <c r="AX110" s="26" t="s">
        <v>42</v>
      </c>
      <c r="AY110" s="128" t="s">
        <v>126</v>
      </c>
    </row>
    <row r="111" spans="2:65" s="26" customFormat="1" ht="16.5" customHeight="1" x14ac:dyDescent="0.25">
      <c r="B111" s="169"/>
      <c r="C111" s="170">
        <v>16</v>
      </c>
      <c r="D111" s="170" t="s">
        <v>129</v>
      </c>
      <c r="E111" s="171" t="s">
        <v>182</v>
      </c>
      <c r="F111" s="172" t="s">
        <v>183</v>
      </c>
      <c r="G111" s="173" t="s">
        <v>146</v>
      </c>
      <c r="H111" s="174">
        <v>6.5140000000000002</v>
      </c>
      <c r="I111" s="174"/>
      <c r="J111" s="174">
        <f>ROUND(I111*H111,3)</f>
        <v>0</v>
      </c>
      <c r="K111" s="172" t="s">
        <v>156</v>
      </c>
      <c r="L111" s="132"/>
      <c r="M111" s="175" t="s">
        <v>9</v>
      </c>
      <c r="N111" s="176" t="s">
        <v>27</v>
      </c>
      <c r="O111" s="177">
        <v>0</v>
      </c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132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132</v>
      </c>
      <c r="BM111" s="128" t="s">
        <v>184</v>
      </c>
    </row>
    <row r="112" spans="2:65" s="26" customFormat="1" ht="16.5" customHeight="1" x14ac:dyDescent="0.25">
      <c r="B112" s="169"/>
      <c r="C112" s="170">
        <v>17</v>
      </c>
      <c r="D112" s="170" t="s">
        <v>129</v>
      </c>
      <c r="E112" s="171" t="s">
        <v>158</v>
      </c>
      <c r="F112" s="172" t="s">
        <v>159</v>
      </c>
      <c r="G112" s="173" t="s">
        <v>146</v>
      </c>
      <c r="H112" s="174">
        <v>12.002000000000001</v>
      </c>
      <c r="I112" s="174"/>
      <c r="J112" s="174">
        <f>ROUND(I112*H112,3)</f>
        <v>0</v>
      </c>
      <c r="K112" s="172" t="s">
        <v>9</v>
      </c>
      <c r="L112" s="132"/>
      <c r="M112" s="175" t="s">
        <v>9</v>
      </c>
      <c r="N112" s="176" t="s">
        <v>27</v>
      </c>
      <c r="O112" s="177">
        <v>0.88200000000000001</v>
      </c>
      <c r="P112" s="177">
        <f>O112*H112</f>
        <v>10.585764000000001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28" t="s">
        <v>132</v>
      </c>
      <c r="AT112" s="128" t="s">
        <v>129</v>
      </c>
      <c r="AU112" s="128" t="s">
        <v>88</v>
      </c>
      <c r="AY112" s="128" t="s">
        <v>126</v>
      </c>
      <c r="BE112" s="138">
        <f>IF(N112="základná",J112,0)</f>
        <v>0</v>
      </c>
      <c r="BF112" s="138">
        <f>IF(N112="znížená",J112,0)</f>
        <v>0</v>
      </c>
      <c r="BG112" s="138">
        <f>IF(N112="zákl. prenesená",J112,0)</f>
        <v>0</v>
      </c>
      <c r="BH112" s="138">
        <f>IF(N112="zníž. prenesená",J112,0)</f>
        <v>0</v>
      </c>
      <c r="BI112" s="138">
        <f>IF(N112="nulová",J112,0)</f>
        <v>0</v>
      </c>
      <c r="BJ112" s="128" t="s">
        <v>88</v>
      </c>
      <c r="BK112" s="166">
        <f>ROUND(I112*H112,3)</f>
        <v>0</v>
      </c>
      <c r="BL112" s="128" t="s">
        <v>132</v>
      </c>
      <c r="BM112" s="128" t="s">
        <v>185</v>
      </c>
    </row>
    <row r="113" spans="2:65" s="26" customFormat="1" ht="16.5" customHeight="1" x14ac:dyDescent="0.25">
      <c r="B113" s="169"/>
      <c r="C113" s="170">
        <v>18</v>
      </c>
      <c r="D113" s="170" t="s">
        <v>129</v>
      </c>
      <c r="E113" s="171" t="s">
        <v>164</v>
      </c>
      <c r="F113" s="172" t="s">
        <v>165</v>
      </c>
      <c r="G113" s="173" t="s">
        <v>146</v>
      </c>
      <c r="H113" s="174">
        <v>32.57</v>
      </c>
      <c r="I113" s="174"/>
      <c r="J113" s="174">
        <f>ROUND(I113*H113,3)</f>
        <v>0</v>
      </c>
      <c r="K113" s="172" t="s">
        <v>9</v>
      </c>
      <c r="L113" s="132"/>
      <c r="M113" s="175" t="s">
        <v>9</v>
      </c>
      <c r="N113" s="176" t="s">
        <v>27</v>
      </c>
      <c r="O113" s="177">
        <v>0.61799999999999999</v>
      </c>
      <c r="P113" s="177">
        <f>O113*H113</f>
        <v>20.128260000000001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128" t="s">
        <v>132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132</v>
      </c>
      <c r="BM113" s="128" t="s">
        <v>186</v>
      </c>
    </row>
    <row r="114" spans="2:65" s="26" customFormat="1" x14ac:dyDescent="0.25">
      <c r="B114" s="132"/>
      <c r="D114" s="179" t="s">
        <v>161</v>
      </c>
      <c r="E114" s="128" t="s">
        <v>9</v>
      </c>
      <c r="F114" s="143" t="s">
        <v>495</v>
      </c>
      <c r="H114" s="166">
        <v>32.57</v>
      </c>
      <c r="L114" s="132"/>
      <c r="M114" s="180"/>
      <c r="T114" s="181"/>
      <c r="AT114" s="128" t="s">
        <v>161</v>
      </c>
      <c r="AU114" s="128" t="s">
        <v>88</v>
      </c>
      <c r="AV114" s="26" t="s">
        <v>88</v>
      </c>
      <c r="AW114" s="26" t="s">
        <v>163</v>
      </c>
      <c r="AX114" s="26" t="s">
        <v>42</v>
      </c>
      <c r="AY114" s="128" t="s">
        <v>126</v>
      </c>
    </row>
    <row r="115" spans="2:65" s="26" customFormat="1" ht="16.5" customHeight="1" x14ac:dyDescent="0.25">
      <c r="B115" s="169"/>
      <c r="C115" s="170">
        <v>19</v>
      </c>
      <c r="D115" s="170" t="s">
        <v>129</v>
      </c>
      <c r="E115" s="171" t="s">
        <v>167</v>
      </c>
      <c r="F115" s="172" t="s">
        <v>168</v>
      </c>
      <c r="G115" s="173" t="s">
        <v>146</v>
      </c>
      <c r="H115" s="174">
        <v>6.5140000000000002</v>
      </c>
      <c r="I115" s="174"/>
      <c r="J115" s="174">
        <f>ROUND(I115*H115,3)</f>
        <v>0</v>
      </c>
      <c r="K115" s="172" t="s">
        <v>156</v>
      </c>
      <c r="L115" s="132"/>
      <c r="M115" s="175" t="s">
        <v>9</v>
      </c>
      <c r="N115" s="176" t="s">
        <v>27</v>
      </c>
      <c r="O115" s="177">
        <v>0.59799999999999998</v>
      </c>
      <c r="P115" s="177">
        <f>O115*H115</f>
        <v>3.8953720000000001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28" t="s">
        <v>132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132</v>
      </c>
      <c r="BM115" s="128" t="s">
        <v>188</v>
      </c>
    </row>
    <row r="116" spans="2:65" s="26" customFormat="1" x14ac:dyDescent="0.25">
      <c r="B116" s="132"/>
      <c r="D116" s="179" t="s">
        <v>161</v>
      </c>
      <c r="E116" s="128" t="s">
        <v>9</v>
      </c>
      <c r="F116" s="143" t="s">
        <v>90</v>
      </c>
      <c r="H116" s="166">
        <v>6.5140000000000002</v>
      </c>
      <c r="L116" s="132"/>
      <c r="M116" s="180"/>
      <c r="T116" s="181"/>
      <c r="AT116" s="128" t="s">
        <v>161</v>
      </c>
      <c r="AU116" s="128" t="s">
        <v>88</v>
      </c>
      <c r="AV116" s="26" t="s">
        <v>88</v>
      </c>
      <c r="AW116" s="26" t="s">
        <v>163</v>
      </c>
      <c r="AX116" s="26" t="s">
        <v>42</v>
      </c>
      <c r="AY116" s="128" t="s">
        <v>126</v>
      </c>
    </row>
    <row r="117" spans="2:65" s="26" customFormat="1" ht="16.5" customHeight="1" x14ac:dyDescent="0.25">
      <c r="B117" s="169"/>
      <c r="C117" s="170">
        <v>20</v>
      </c>
      <c r="D117" s="170" t="s">
        <v>129</v>
      </c>
      <c r="E117" s="171" t="s">
        <v>170</v>
      </c>
      <c r="F117" s="172" t="s">
        <v>171</v>
      </c>
      <c r="G117" s="173" t="s">
        <v>146</v>
      </c>
      <c r="H117" s="174">
        <v>91.195999999999998</v>
      </c>
      <c r="I117" s="174"/>
      <c r="J117" s="174">
        <f>ROUND(I117*H117,3)</f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7.0000000000000001E-3</v>
      </c>
      <c r="P117" s="177">
        <f>O117*H117</f>
        <v>0.63837200000000005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128" t="s">
        <v>132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132</v>
      </c>
      <c r="BM117" s="128" t="s">
        <v>189</v>
      </c>
    </row>
    <row r="118" spans="2:65" s="26" customFormat="1" x14ac:dyDescent="0.25">
      <c r="B118" s="132"/>
      <c r="D118" s="179" t="s">
        <v>161</v>
      </c>
      <c r="E118" s="128" t="s">
        <v>9</v>
      </c>
      <c r="F118" s="143" t="s">
        <v>190</v>
      </c>
      <c r="H118" s="166">
        <v>91.195999999999998</v>
      </c>
      <c r="L118" s="132"/>
      <c r="M118" s="180"/>
      <c r="T118" s="181"/>
      <c r="AT118" s="128" t="s">
        <v>161</v>
      </c>
      <c r="AU118" s="128" t="s">
        <v>88</v>
      </c>
      <c r="AV118" s="26" t="s">
        <v>88</v>
      </c>
      <c r="AW118" s="26" t="s">
        <v>163</v>
      </c>
      <c r="AX118" s="26" t="s">
        <v>42</v>
      </c>
      <c r="AY118" s="128" t="s">
        <v>126</v>
      </c>
    </row>
    <row r="119" spans="2:65" s="158" customFormat="1" ht="25.9" customHeight="1" x14ac:dyDescent="0.2">
      <c r="B119" s="157"/>
      <c r="D119" s="159" t="s">
        <v>123</v>
      </c>
      <c r="E119" s="160" t="s">
        <v>191</v>
      </c>
      <c r="F119" s="160" t="s">
        <v>192</v>
      </c>
      <c r="J119" s="161">
        <f>J120+J131+J137</f>
        <v>0</v>
      </c>
      <c r="L119" s="182"/>
      <c r="M119" s="162"/>
      <c r="P119" s="163">
        <f>P120+P131+P137</f>
        <v>526.42668000000003</v>
      </c>
      <c r="R119" s="163">
        <f>R120+R131+R137</f>
        <v>0.67779999999999996</v>
      </c>
      <c r="T119" s="164">
        <f>T120+T131+T137</f>
        <v>33.515000000000001</v>
      </c>
      <c r="AR119" s="159" t="s">
        <v>88</v>
      </c>
      <c r="AT119" s="165" t="s">
        <v>123</v>
      </c>
      <c r="AU119" s="165" t="s">
        <v>39</v>
      </c>
      <c r="AY119" s="159" t="s">
        <v>126</v>
      </c>
      <c r="BK119" s="166">
        <f>BK120+BK131+BK137</f>
        <v>0</v>
      </c>
    </row>
    <row r="120" spans="2:65" s="158" customFormat="1" ht="22.9" customHeight="1" x14ac:dyDescent="0.2">
      <c r="B120" s="157"/>
      <c r="D120" s="159" t="s">
        <v>123</v>
      </c>
      <c r="E120" s="167" t="s">
        <v>193</v>
      </c>
      <c r="F120" s="167" t="s">
        <v>194</v>
      </c>
      <c r="J120" s="168">
        <f>SUM(J121:J130)</f>
        <v>0</v>
      </c>
      <c r="L120" s="182"/>
      <c r="M120" s="162"/>
      <c r="P120" s="163">
        <f>SUM(P121:P130)</f>
        <v>463.02600000000001</v>
      </c>
      <c r="R120" s="163">
        <f>SUM(R121:R130)</f>
        <v>0.62370000000000003</v>
      </c>
      <c r="T120" s="164">
        <f>SUM(T121:T130)</f>
        <v>30.6</v>
      </c>
      <c r="AR120" s="159" t="s">
        <v>88</v>
      </c>
      <c r="AT120" s="165" t="s">
        <v>123</v>
      </c>
      <c r="AU120" s="165" t="s">
        <v>42</v>
      </c>
      <c r="AY120" s="159" t="s">
        <v>126</v>
      </c>
      <c r="BK120" s="166">
        <f>SUM(BK121:BK130)</f>
        <v>0</v>
      </c>
    </row>
    <row r="121" spans="2:65" s="26" customFormat="1" ht="16.5" customHeight="1" x14ac:dyDescent="0.25">
      <c r="B121" s="169"/>
      <c r="C121" s="170">
        <v>21</v>
      </c>
      <c r="D121" s="170" t="s">
        <v>129</v>
      </c>
      <c r="E121" s="171" t="s">
        <v>195</v>
      </c>
      <c r="F121" s="172" t="s">
        <v>196</v>
      </c>
      <c r="G121" s="173" t="s">
        <v>136</v>
      </c>
      <c r="H121" s="174">
        <v>630</v>
      </c>
      <c r="I121" s="174"/>
      <c r="J121" s="174">
        <f t="shared" ref="J121:J125" si="1">ROUND(I121*H121,3)</f>
        <v>0</v>
      </c>
      <c r="K121" s="172" t="s">
        <v>156</v>
      </c>
      <c r="L121" s="132"/>
      <c r="M121" s="175" t="s">
        <v>9</v>
      </c>
      <c r="N121" s="176" t="s">
        <v>27</v>
      </c>
      <c r="O121" s="177">
        <v>0.05</v>
      </c>
      <c r="P121" s="177">
        <f t="shared" ref="P121:P125" si="2">O121*H121</f>
        <v>31.5</v>
      </c>
      <c r="Q121" s="177">
        <v>0</v>
      </c>
      <c r="R121" s="177">
        <f t="shared" ref="R121:R125" si="3">Q121*H121</f>
        <v>0</v>
      </c>
      <c r="S121" s="177">
        <v>6.0000000000000001E-3</v>
      </c>
      <c r="T121" s="178">
        <f t="shared" ref="T121:T125" si="4">S121*H121</f>
        <v>3.7800000000000002</v>
      </c>
      <c r="AR121" s="128" t="s">
        <v>197</v>
      </c>
      <c r="AT121" s="128" t="s">
        <v>129</v>
      </c>
      <c r="AU121" s="128" t="s">
        <v>88</v>
      </c>
      <c r="AY121" s="128" t="s">
        <v>126</v>
      </c>
      <c r="BE121" s="138">
        <f t="shared" ref="BE121:BE125" si="5">IF(N121="základná",J121,0)</f>
        <v>0</v>
      </c>
      <c r="BF121" s="138">
        <f t="shared" ref="BF121:BF125" si="6">IF(N121="znížená",J121,0)</f>
        <v>0</v>
      </c>
      <c r="BG121" s="138">
        <f t="shared" ref="BG121:BG125" si="7">IF(N121="zákl. prenesená",J121,0)</f>
        <v>0</v>
      </c>
      <c r="BH121" s="138">
        <f t="shared" ref="BH121:BH125" si="8">IF(N121="zníž. prenesená",J121,0)</f>
        <v>0</v>
      </c>
      <c r="BI121" s="138">
        <f t="shared" ref="BI121:BI125" si="9">IF(N121="nulová",J121,0)</f>
        <v>0</v>
      </c>
      <c r="BJ121" s="128" t="s">
        <v>88</v>
      </c>
      <c r="BK121" s="166">
        <f t="shared" ref="BK121:BK125" si="10">ROUND(I121*H121,3)</f>
        <v>0</v>
      </c>
      <c r="BL121" s="128" t="s">
        <v>197</v>
      </c>
      <c r="BM121" s="128" t="s">
        <v>496</v>
      </c>
    </row>
    <row r="122" spans="2:65" s="26" customFormat="1" ht="16.5" customHeight="1" x14ac:dyDescent="0.25">
      <c r="B122" s="169"/>
      <c r="C122" s="170">
        <v>22</v>
      </c>
      <c r="D122" s="170" t="s">
        <v>129</v>
      </c>
      <c r="E122" s="171" t="s">
        <v>199</v>
      </c>
      <c r="F122" s="172" t="s">
        <v>200</v>
      </c>
      <c r="G122" s="173" t="s">
        <v>136</v>
      </c>
      <c r="H122" s="174">
        <v>771</v>
      </c>
      <c r="I122" s="174"/>
      <c r="J122" s="174">
        <f t="shared" si="1"/>
        <v>0</v>
      </c>
      <c r="K122" s="172" t="s">
        <v>9</v>
      </c>
      <c r="L122" s="132"/>
      <c r="M122" s="175" t="s">
        <v>9</v>
      </c>
      <c r="N122" s="176" t="s">
        <v>27</v>
      </c>
      <c r="O122" s="177">
        <v>2.7E-2</v>
      </c>
      <c r="P122" s="177">
        <f t="shared" si="2"/>
        <v>20.817</v>
      </c>
      <c r="Q122" s="177">
        <v>0</v>
      </c>
      <c r="R122" s="177">
        <f t="shared" si="3"/>
        <v>0</v>
      </c>
      <c r="S122" s="177">
        <v>0</v>
      </c>
      <c r="T122" s="178">
        <f t="shared" si="4"/>
        <v>0</v>
      </c>
      <c r="AR122" s="128" t="s">
        <v>197</v>
      </c>
      <c r="AT122" s="128" t="s">
        <v>129</v>
      </c>
      <c r="AU122" s="128" t="s">
        <v>88</v>
      </c>
      <c r="AY122" s="128" t="s">
        <v>126</v>
      </c>
      <c r="BE122" s="138">
        <f t="shared" si="5"/>
        <v>0</v>
      </c>
      <c r="BF122" s="138">
        <f t="shared" si="6"/>
        <v>0</v>
      </c>
      <c r="BG122" s="138">
        <f t="shared" si="7"/>
        <v>0</v>
      </c>
      <c r="BH122" s="138">
        <f t="shared" si="8"/>
        <v>0</v>
      </c>
      <c r="BI122" s="138">
        <f t="shared" si="9"/>
        <v>0</v>
      </c>
      <c r="BJ122" s="128" t="s">
        <v>88</v>
      </c>
      <c r="BK122" s="166">
        <f t="shared" si="10"/>
        <v>0</v>
      </c>
      <c r="BL122" s="128" t="s">
        <v>197</v>
      </c>
      <c r="BM122" s="128" t="s">
        <v>201</v>
      </c>
    </row>
    <row r="123" spans="2:65" s="26" customFormat="1" ht="16.5" customHeight="1" x14ac:dyDescent="0.25">
      <c r="B123" s="169"/>
      <c r="C123" s="170">
        <v>23</v>
      </c>
      <c r="D123" s="170" t="s">
        <v>129</v>
      </c>
      <c r="E123" s="171" t="s">
        <v>207</v>
      </c>
      <c r="F123" s="172" t="s">
        <v>208</v>
      </c>
      <c r="G123" s="173" t="s">
        <v>136</v>
      </c>
      <c r="H123" s="174">
        <v>141</v>
      </c>
      <c r="I123" s="174"/>
      <c r="J123" s="174">
        <f t="shared" si="1"/>
        <v>0</v>
      </c>
      <c r="K123" s="172" t="s">
        <v>9</v>
      </c>
      <c r="L123" s="132"/>
      <c r="M123" s="175" t="s">
        <v>9</v>
      </c>
      <c r="N123" s="176" t="s">
        <v>27</v>
      </c>
      <c r="O123" s="177">
        <v>0.05</v>
      </c>
      <c r="P123" s="177">
        <f t="shared" si="2"/>
        <v>7.0500000000000007</v>
      </c>
      <c r="Q123" s="177">
        <v>0</v>
      </c>
      <c r="R123" s="177">
        <f t="shared" si="3"/>
        <v>0</v>
      </c>
      <c r="S123" s="177">
        <v>6.0000000000000001E-3</v>
      </c>
      <c r="T123" s="178">
        <f t="shared" si="4"/>
        <v>0.84599999999999997</v>
      </c>
      <c r="AR123" s="128" t="s">
        <v>197</v>
      </c>
      <c r="AT123" s="128" t="s">
        <v>129</v>
      </c>
      <c r="AU123" s="128" t="s">
        <v>88</v>
      </c>
      <c r="AY123" s="128" t="s">
        <v>126</v>
      </c>
      <c r="BE123" s="138">
        <f t="shared" si="5"/>
        <v>0</v>
      </c>
      <c r="BF123" s="138">
        <f t="shared" si="6"/>
        <v>0</v>
      </c>
      <c r="BG123" s="138">
        <f t="shared" si="7"/>
        <v>0</v>
      </c>
      <c r="BH123" s="138">
        <f t="shared" si="8"/>
        <v>0</v>
      </c>
      <c r="BI123" s="138">
        <f t="shared" si="9"/>
        <v>0</v>
      </c>
      <c r="BJ123" s="128" t="s">
        <v>88</v>
      </c>
      <c r="BK123" s="166">
        <f t="shared" si="10"/>
        <v>0</v>
      </c>
      <c r="BL123" s="128" t="s">
        <v>197</v>
      </c>
      <c r="BM123" s="128" t="s">
        <v>497</v>
      </c>
    </row>
    <row r="124" spans="2:65" s="26" customFormat="1" ht="16.5" customHeight="1" x14ac:dyDescent="0.25">
      <c r="B124" s="169"/>
      <c r="C124" s="170">
        <v>24</v>
      </c>
      <c r="D124" s="170" t="s">
        <v>129</v>
      </c>
      <c r="E124" s="171" t="s">
        <v>465</v>
      </c>
      <c r="F124" s="172" t="s">
        <v>466</v>
      </c>
      <c r="G124" s="173" t="s">
        <v>136</v>
      </c>
      <c r="H124" s="174">
        <v>630</v>
      </c>
      <c r="I124" s="174"/>
      <c r="J124" s="174">
        <f t="shared" si="1"/>
        <v>0</v>
      </c>
      <c r="K124" s="172" t="s">
        <v>9</v>
      </c>
      <c r="L124" s="132"/>
      <c r="M124" s="175" t="s">
        <v>9</v>
      </c>
      <c r="N124" s="176" t="s">
        <v>27</v>
      </c>
      <c r="O124" s="177">
        <v>0.435</v>
      </c>
      <c r="P124" s="177">
        <f t="shared" si="2"/>
        <v>274.05</v>
      </c>
      <c r="Q124" s="177">
        <v>9.8999999999999999E-4</v>
      </c>
      <c r="R124" s="177">
        <f t="shared" si="3"/>
        <v>0.62370000000000003</v>
      </c>
      <c r="S124" s="177">
        <v>0</v>
      </c>
      <c r="T124" s="178">
        <f t="shared" si="4"/>
        <v>0</v>
      </c>
      <c r="AR124" s="128" t="s">
        <v>197</v>
      </c>
      <c r="AT124" s="128" t="s">
        <v>129</v>
      </c>
      <c r="AU124" s="128" t="s">
        <v>88</v>
      </c>
      <c r="AY124" s="128" t="s">
        <v>126</v>
      </c>
      <c r="BE124" s="138">
        <f t="shared" si="5"/>
        <v>0</v>
      </c>
      <c r="BF124" s="138">
        <f t="shared" si="6"/>
        <v>0</v>
      </c>
      <c r="BG124" s="138">
        <f t="shared" si="7"/>
        <v>0</v>
      </c>
      <c r="BH124" s="138">
        <f t="shared" si="8"/>
        <v>0</v>
      </c>
      <c r="BI124" s="138">
        <f t="shared" si="9"/>
        <v>0</v>
      </c>
      <c r="BJ124" s="128" t="s">
        <v>88</v>
      </c>
      <c r="BK124" s="166">
        <f t="shared" si="10"/>
        <v>0</v>
      </c>
      <c r="BL124" s="128" t="s">
        <v>197</v>
      </c>
      <c r="BM124" s="128" t="s">
        <v>467</v>
      </c>
    </row>
    <row r="125" spans="2:65" s="26" customFormat="1" ht="16.5" customHeight="1" x14ac:dyDescent="0.25">
      <c r="B125" s="169"/>
      <c r="C125" s="170">
        <v>25</v>
      </c>
      <c r="D125" s="170" t="s">
        <v>129</v>
      </c>
      <c r="E125" s="171" t="s">
        <v>210</v>
      </c>
      <c r="F125" s="172" t="s">
        <v>211</v>
      </c>
      <c r="G125" s="173" t="s">
        <v>136</v>
      </c>
      <c r="H125" s="174">
        <v>771</v>
      </c>
      <c r="I125" s="174"/>
      <c r="J125" s="174">
        <f t="shared" si="1"/>
        <v>0</v>
      </c>
      <c r="K125" s="172" t="s">
        <v>9</v>
      </c>
      <c r="L125" s="202"/>
      <c r="M125" s="175" t="s">
        <v>9</v>
      </c>
      <c r="N125" s="176" t="s">
        <v>27</v>
      </c>
      <c r="O125" s="177">
        <v>7.0999999999999994E-2</v>
      </c>
      <c r="P125" s="177">
        <f t="shared" si="2"/>
        <v>54.740999999999993</v>
      </c>
      <c r="Q125" s="177">
        <v>0</v>
      </c>
      <c r="R125" s="177">
        <f t="shared" si="3"/>
        <v>0</v>
      </c>
      <c r="S125" s="177">
        <v>1.6E-2</v>
      </c>
      <c r="T125" s="178">
        <f t="shared" si="4"/>
        <v>12.336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 t="shared" si="5"/>
        <v>0</v>
      </c>
      <c r="BF125" s="138">
        <f t="shared" si="6"/>
        <v>0</v>
      </c>
      <c r="BG125" s="138">
        <f t="shared" si="7"/>
        <v>0</v>
      </c>
      <c r="BH125" s="138">
        <f t="shared" si="8"/>
        <v>0</v>
      </c>
      <c r="BI125" s="138">
        <f t="shared" si="9"/>
        <v>0</v>
      </c>
      <c r="BJ125" s="128" t="s">
        <v>88</v>
      </c>
      <c r="BK125" s="166">
        <f t="shared" si="10"/>
        <v>0</v>
      </c>
      <c r="BL125" s="128" t="s">
        <v>197</v>
      </c>
      <c r="BM125" s="128" t="s">
        <v>212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498</v>
      </c>
      <c r="H126" s="166">
        <v>771</v>
      </c>
      <c r="L126" s="132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>
        <v>26</v>
      </c>
      <c r="D127" s="170" t="s">
        <v>129</v>
      </c>
      <c r="E127" s="171" t="s">
        <v>214</v>
      </c>
      <c r="F127" s="172" t="s">
        <v>416</v>
      </c>
      <c r="G127" s="173" t="s">
        <v>136</v>
      </c>
      <c r="H127" s="174">
        <f>SUM(H128:H128)</f>
        <v>1890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8.0000000000000002E-3</v>
      </c>
      <c r="P127" s="177">
        <f>O127*H127</f>
        <v>15.120000000000001</v>
      </c>
      <c r="Q127" s="177">
        <v>0</v>
      </c>
      <c r="R127" s="177">
        <f>Q127*H127</f>
        <v>0</v>
      </c>
      <c r="S127" s="177">
        <v>6.0000000000000001E-3</v>
      </c>
      <c r="T127" s="178">
        <f>S127*H127</f>
        <v>11.34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216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499</v>
      </c>
      <c r="H128" s="166">
        <v>1890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ht="16.5" customHeight="1" x14ac:dyDescent="0.25">
      <c r="B129" s="169"/>
      <c r="C129" s="170">
        <v>27</v>
      </c>
      <c r="D129" s="170" t="s">
        <v>129</v>
      </c>
      <c r="E129" s="171" t="s">
        <v>219</v>
      </c>
      <c r="F129" s="172" t="s">
        <v>220</v>
      </c>
      <c r="G129" s="173" t="s">
        <v>136</v>
      </c>
      <c r="H129" s="174">
        <f>630*0.6</f>
        <v>378</v>
      </c>
      <c r="I129" s="174"/>
      <c r="J129" s="174">
        <f>ROUND(I129*H129,3)</f>
        <v>0</v>
      </c>
      <c r="K129" s="172" t="s">
        <v>9</v>
      </c>
      <c r="L129" s="132"/>
      <c r="M129" s="175" t="s">
        <v>9</v>
      </c>
      <c r="N129" s="176" t="s">
        <v>27</v>
      </c>
      <c r="O129" s="177">
        <v>5.1999999999999998E-2</v>
      </c>
      <c r="P129" s="177">
        <f>O129*H129</f>
        <v>19.655999999999999</v>
      </c>
      <c r="Q129" s="177">
        <v>0</v>
      </c>
      <c r="R129" s="177">
        <f>Q129*H129</f>
        <v>0</v>
      </c>
      <c r="S129" s="177">
        <v>2E-3</v>
      </c>
      <c r="T129" s="178">
        <f>S129*H129</f>
        <v>0.75600000000000001</v>
      </c>
      <c r="AR129" s="128" t="s">
        <v>197</v>
      </c>
      <c r="AT129" s="128" t="s">
        <v>129</v>
      </c>
      <c r="AU129" s="128" t="s">
        <v>88</v>
      </c>
      <c r="AY129" s="128" t="s">
        <v>126</v>
      </c>
      <c r="BE129" s="138">
        <f>IF(N129="základná",J129,0)</f>
        <v>0</v>
      </c>
      <c r="BF129" s="138">
        <f>IF(N129="znížená",J129,0)</f>
        <v>0</v>
      </c>
      <c r="BG129" s="138">
        <f>IF(N129="zákl. prenesená",J129,0)</f>
        <v>0</v>
      </c>
      <c r="BH129" s="138">
        <f>IF(N129="zníž. prenesená",J129,0)</f>
        <v>0</v>
      </c>
      <c r="BI129" s="138">
        <f>IF(N129="nulová",J129,0)</f>
        <v>0</v>
      </c>
      <c r="BJ129" s="128" t="s">
        <v>88</v>
      </c>
      <c r="BK129" s="166">
        <f>ROUND(I129*H129,3)</f>
        <v>0</v>
      </c>
      <c r="BL129" s="128" t="s">
        <v>197</v>
      </c>
      <c r="BM129" s="128" t="s">
        <v>221</v>
      </c>
    </row>
    <row r="130" spans="2:65" s="26" customFormat="1" ht="16.5" customHeight="1" x14ac:dyDescent="0.25">
      <c r="B130" s="169"/>
      <c r="C130" s="170">
        <v>28</v>
      </c>
      <c r="D130" s="170" t="s">
        <v>129</v>
      </c>
      <c r="E130" s="171" t="s">
        <v>219</v>
      </c>
      <c r="F130" s="172" t="s">
        <v>222</v>
      </c>
      <c r="G130" s="173" t="s">
        <v>136</v>
      </c>
      <c r="H130" s="174">
        <f>H125</f>
        <v>771</v>
      </c>
      <c r="I130" s="174"/>
      <c r="J130" s="174">
        <f>ROUND(I130*H130,3)</f>
        <v>0</v>
      </c>
      <c r="K130" s="172" t="s">
        <v>9</v>
      </c>
      <c r="L130" s="132"/>
      <c r="M130" s="175" t="s">
        <v>9</v>
      </c>
      <c r="N130" s="176" t="s">
        <v>27</v>
      </c>
      <c r="O130" s="177">
        <v>5.1999999999999998E-2</v>
      </c>
      <c r="P130" s="177">
        <f>O130*H130</f>
        <v>40.091999999999999</v>
      </c>
      <c r="Q130" s="177">
        <v>0</v>
      </c>
      <c r="R130" s="177">
        <f>Q130*H130</f>
        <v>0</v>
      </c>
      <c r="S130" s="177">
        <v>2E-3</v>
      </c>
      <c r="T130" s="178">
        <f>S130*H130</f>
        <v>1.542</v>
      </c>
      <c r="AR130" s="128" t="s">
        <v>197</v>
      </c>
      <c r="AT130" s="128" t="s">
        <v>129</v>
      </c>
      <c r="AU130" s="128" t="s">
        <v>88</v>
      </c>
      <c r="AY130" s="128" t="s">
        <v>126</v>
      </c>
      <c r="BE130" s="138">
        <f>IF(N130="základná",J130,0)</f>
        <v>0</v>
      </c>
      <c r="BF130" s="138">
        <f>IF(N130="znížená",J130,0)</f>
        <v>0</v>
      </c>
      <c r="BG130" s="138">
        <f>IF(N130="zákl. prenesená",J130,0)</f>
        <v>0</v>
      </c>
      <c r="BH130" s="138">
        <f>IF(N130="zníž. prenesená",J130,0)</f>
        <v>0</v>
      </c>
      <c r="BI130" s="138">
        <f>IF(N130="nulová",J130,0)</f>
        <v>0</v>
      </c>
      <c r="BJ130" s="128" t="s">
        <v>88</v>
      </c>
      <c r="BK130" s="166">
        <f>ROUND(I130*H130,3)</f>
        <v>0</v>
      </c>
      <c r="BL130" s="128" t="s">
        <v>197</v>
      </c>
      <c r="BM130" s="128" t="s">
        <v>221</v>
      </c>
    </row>
    <row r="131" spans="2:65" s="158" customFormat="1" ht="22.9" customHeight="1" x14ac:dyDescent="0.2">
      <c r="B131" s="157"/>
      <c r="D131" s="159" t="s">
        <v>123</v>
      </c>
      <c r="E131" s="167" t="s">
        <v>223</v>
      </c>
      <c r="F131" s="167" t="s">
        <v>224</v>
      </c>
      <c r="J131" s="168">
        <f>SUM(J132:J136)</f>
        <v>0</v>
      </c>
      <c r="L131" s="182"/>
      <c r="M131" s="162"/>
      <c r="P131" s="163">
        <f>SUM(P133:P136)</f>
        <v>51.120679999999993</v>
      </c>
      <c r="R131" s="163">
        <f>SUM(R133:R136)</f>
        <v>4.1599999999999998E-2</v>
      </c>
      <c r="T131" s="164">
        <f>SUM(T133:T136)</f>
        <v>2.665</v>
      </c>
      <c r="AR131" s="159" t="s">
        <v>88</v>
      </c>
      <c r="AT131" s="165" t="s">
        <v>123</v>
      </c>
      <c r="AU131" s="165" t="s">
        <v>42</v>
      </c>
      <c r="AY131" s="159" t="s">
        <v>126</v>
      </c>
      <c r="BK131" s="166">
        <f>SUM(BK133:BK136)</f>
        <v>0</v>
      </c>
    </row>
    <row r="132" spans="2:65" s="26" customFormat="1" ht="16.5" customHeight="1" x14ac:dyDescent="0.25">
      <c r="B132" s="169"/>
      <c r="C132" s="170">
        <v>29</v>
      </c>
      <c r="D132" s="170" t="s">
        <v>129</v>
      </c>
      <c r="E132" s="171" t="s">
        <v>228</v>
      </c>
      <c r="F132" s="172" t="s">
        <v>229</v>
      </c>
      <c r="G132" s="173" t="s">
        <v>230</v>
      </c>
      <c r="H132" s="174">
        <v>22</v>
      </c>
      <c r="I132" s="174"/>
      <c r="J132" s="174">
        <f>ROUND(I132*H132,3)</f>
        <v>0</v>
      </c>
      <c r="K132" s="172" t="s">
        <v>9</v>
      </c>
      <c r="L132" s="132"/>
      <c r="M132" s="175" t="s">
        <v>9</v>
      </c>
      <c r="N132" s="176" t="s">
        <v>27</v>
      </c>
      <c r="O132" s="177">
        <v>7.4999999999999997E-2</v>
      </c>
      <c r="P132" s="177">
        <f>O132*H132</f>
        <v>1.65</v>
      </c>
      <c r="Q132" s="177">
        <v>0</v>
      </c>
      <c r="R132" s="177">
        <f>Q132*H132</f>
        <v>0</v>
      </c>
      <c r="S132" s="177">
        <v>2.5200000000000001E-3</v>
      </c>
      <c r="T132" s="178">
        <f>S132*H132</f>
        <v>5.5440000000000003E-2</v>
      </c>
      <c r="AR132" s="128" t="s">
        <v>197</v>
      </c>
      <c r="AT132" s="128" t="s">
        <v>129</v>
      </c>
      <c r="AU132" s="128" t="s">
        <v>88</v>
      </c>
      <c r="AY132" s="128" t="s">
        <v>126</v>
      </c>
      <c r="BE132" s="138">
        <f>IF(N132="základná",J132,0)</f>
        <v>0</v>
      </c>
      <c r="BF132" s="138">
        <f>IF(N132="znížená",J132,0)</f>
        <v>0</v>
      </c>
      <c r="BG132" s="138">
        <f>IF(N132="zákl. prenesená",J132,0)</f>
        <v>0</v>
      </c>
      <c r="BH132" s="138">
        <f>IF(N132="zníž. prenesená",J132,0)</f>
        <v>0</v>
      </c>
      <c r="BI132" s="138">
        <f>IF(N132="nulová",J132,0)</f>
        <v>0</v>
      </c>
      <c r="BJ132" s="128" t="s">
        <v>88</v>
      </c>
      <c r="BK132" s="166">
        <f>ROUND(I132*H132,3)</f>
        <v>0</v>
      </c>
      <c r="BL132" s="128" t="s">
        <v>197</v>
      </c>
      <c r="BM132" s="128" t="s">
        <v>231</v>
      </c>
    </row>
    <row r="133" spans="2:65" s="26" customFormat="1" ht="16.5" customHeight="1" x14ac:dyDescent="0.25">
      <c r="B133" s="169"/>
      <c r="C133" s="170">
        <v>30</v>
      </c>
      <c r="D133" s="170" t="s">
        <v>129</v>
      </c>
      <c r="E133" s="171" t="s">
        <v>225</v>
      </c>
      <c r="F133" s="172" t="s">
        <v>226</v>
      </c>
      <c r="G133" s="173" t="s">
        <v>205</v>
      </c>
      <c r="H133" s="174">
        <v>20</v>
      </c>
      <c r="I133" s="174"/>
      <c r="J133" s="174">
        <f>ROUND(I133*H133,3)</f>
        <v>0</v>
      </c>
      <c r="K133" s="172" t="s">
        <v>9</v>
      </c>
      <c r="L133" s="132"/>
      <c r="M133" s="175" t="s">
        <v>9</v>
      </c>
      <c r="N133" s="176" t="s">
        <v>27</v>
      </c>
      <c r="O133" s="177">
        <v>0.50117999999999996</v>
      </c>
      <c r="P133" s="177">
        <f>O133*H133</f>
        <v>10.023599999999998</v>
      </c>
      <c r="Q133" s="177">
        <v>1.6000000000000001E-3</v>
      </c>
      <c r="R133" s="177">
        <f>Q133*H133</f>
        <v>3.2000000000000001E-2</v>
      </c>
      <c r="S133" s="177">
        <v>0</v>
      </c>
      <c r="T133" s="178">
        <f>S133*H133</f>
        <v>0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227</v>
      </c>
    </row>
    <row r="134" spans="2:65" s="26" customFormat="1" ht="16.5" customHeight="1" x14ac:dyDescent="0.25">
      <c r="B134" s="169"/>
      <c r="C134" s="170">
        <v>31</v>
      </c>
      <c r="D134" s="170" t="s">
        <v>129</v>
      </c>
      <c r="E134" s="171" t="s">
        <v>232</v>
      </c>
      <c r="F134" s="172" t="s">
        <v>233</v>
      </c>
      <c r="G134" s="173" t="s">
        <v>234</v>
      </c>
      <c r="H134" s="174">
        <v>130</v>
      </c>
      <c r="I134" s="174"/>
      <c r="J134" s="174">
        <f>ROUND(I134*H134,3)</f>
        <v>0</v>
      </c>
      <c r="K134" s="172" t="s">
        <v>9</v>
      </c>
      <c r="L134" s="132"/>
      <c r="M134" s="175" t="s">
        <v>9</v>
      </c>
      <c r="N134" s="176" t="s">
        <v>27</v>
      </c>
      <c r="O134" s="177">
        <v>0.29299999999999998</v>
      </c>
      <c r="P134" s="177">
        <f>O134*H134</f>
        <v>38.089999999999996</v>
      </c>
      <c r="Q134" s="177">
        <v>0</v>
      </c>
      <c r="R134" s="177">
        <f>Q134*H134</f>
        <v>0</v>
      </c>
      <c r="S134" s="177">
        <v>2.0500000000000001E-2</v>
      </c>
      <c r="T134" s="178">
        <f>S134*H134</f>
        <v>2.665</v>
      </c>
      <c r="AR134" s="128" t="s">
        <v>197</v>
      </c>
      <c r="AT134" s="128" t="s">
        <v>129</v>
      </c>
      <c r="AU134" s="128" t="s">
        <v>88</v>
      </c>
      <c r="AY134" s="128" t="s">
        <v>126</v>
      </c>
      <c r="BE134" s="138">
        <f>IF(N134="základná",J134,0)</f>
        <v>0</v>
      </c>
      <c r="BF134" s="138">
        <f>IF(N134="znížená",J134,0)</f>
        <v>0</v>
      </c>
      <c r="BG134" s="138">
        <f>IF(N134="zákl. prenesená",J134,0)</f>
        <v>0</v>
      </c>
      <c r="BH134" s="138">
        <f>IF(N134="zníž. prenesená",J134,0)</f>
        <v>0</v>
      </c>
      <c r="BI134" s="138">
        <f>IF(N134="nulová",J134,0)</f>
        <v>0</v>
      </c>
      <c r="BJ134" s="128" t="s">
        <v>88</v>
      </c>
      <c r="BK134" s="166">
        <f>ROUND(I134*H134,3)</f>
        <v>0</v>
      </c>
      <c r="BL134" s="128" t="s">
        <v>197</v>
      </c>
      <c r="BM134" s="128" t="s">
        <v>235</v>
      </c>
    </row>
    <row r="135" spans="2:65" s="26" customFormat="1" ht="16.5" customHeight="1" x14ac:dyDescent="0.25">
      <c r="B135" s="169"/>
      <c r="C135" s="170" t="s">
        <v>236</v>
      </c>
      <c r="D135" s="170" t="s">
        <v>129</v>
      </c>
      <c r="E135" s="171" t="s">
        <v>237</v>
      </c>
      <c r="F135" s="172" t="s">
        <v>238</v>
      </c>
      <c r="G135" s="173" t="s">
        <v>230</v>
      </c>
      <c r="H135" s="174">
        <v>49</v>
      </c>
      <c r="I135" s="174"/>
      <c r="J135" s="174">
        <f t="shared" ref="J135" si="11">ROUND(I135*H135,3)</f>
        <v>0</v>
      </c>
      <c r="K135" s="172"/>
      <c r="L135" s="132"/>
      <c r="M135" s="175"/>
      <c r="N135" s="176"/>
      <c r="O135" s="177"/>
      <c r="P135" s="177"/>
      <c r="Q135" s="177"/>
      <c r="R135" s="177"/>
      <c r="S135" s="177"/>
      <c r="T135" s="178"/>
      <c r="AR135" s="128"/>
      <c r="AT135" s="128"/>
      <c r="AU135" s="128"/>
      <c r="AY135" s="128"/>
      <c r="BE135" s="138"/>
      <c r="BF135" s="138"/>
      <c r="BG135" s="138"/>
      <c r="BH135" s="138"/>
      <c r="BI135" s="138"/>
      <c r="BJ135" s="128"/>
      <c r="BK135" s="166">
        <f>ROUND(I135*H135,3)</f>
        <v>0</v>
      </c>
      <c r="BL135" s="128"/>
      <c r="BM135" s="128"/>
    </row>
    <row r="136" spans="2:65" s="26" customFormat="1" ht="16.5" customHeight="1" x14ac:dyDescent="0.25">
      <c r="B136" s="169"/>
      <c r="C136" s="170">
        <v>32</v>
      </c>
      <c r="D136" s="170" t="s">
        <v>129</v>
      </c>
      <c r="E136" s="171" t="s">
        <v>239</v>
      </c>
      <c r="F136" s="172" t="s">
        <v>240</v>
      </c>
      <c r="G136" s="173" t="s">
        <v>205</v>
      </c>
      <c r="H136" s="174">
        <v>6</v>
      </c>
      <c r="I136" s="174"/>
      <c r="J136" s="174">
        <f>ROUND(I136*H136,3)</f>
        <v>0</v>
      </c>
      <c r="K136" s="172" t="s">
        <v>9</v>
      </c>
      <c r="L136" s="132"/>
      <c r="M136" s="175" t="s">
        <v>9</v>
      </c>
      <c r="N136" s="176" t="s">
        <v>27</v>
      </c>
      <c r="O136" s="177">
        <v>0.50117999999999996</v>
      </c>
      <c r="P136" s="177">
        <f>O136*H136</f>
        <v>3.0070799999999998</v>
      </c>
      <c r="Q136" s="177">
        <v>1.6000000000000001E-3</v>
      </c>
      <c r="R136" s="177">
        <f>Q136*H136</f>
        <v>9.6000000000000009E-3</v>
      </c>
      <c r="S136" s="177">
        <v>0</v>
      </c>
      <c r="T136" s="178">
        <f>S136*H136</f>
        <v>0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241</v>
      </c>
    </row>
    <row r="137" spans="2:65" s="158" customFormat="1" ht="22.9" customHeight="1" x14ac:dyDescent="0.2">
      <c r="B137" s="157"/>
      <c r="D137" s="159" t="s">
        <v>123</v>
      </c>
      <c r="E137" s="167" t="s">
        <v>242</v>
      </c>
      <c r="F137" s="167" t="s">
        <v>243</v>
      </c>
      <c r="J137" s="168">
        <f>SUM(J138)</f>
        <v>0</v>
      </c>
      <c r="L137" s="182"/>
      <c r="M137" s="162"/>
      <c r="P137" s="163">
        <f>P138</f>
        <v>12.28</v>
      </c>
      <c r="R137" s="163">
        <f>R138</f>
        <v>1.2500000000000001E-2</v>
      </c>
      <c r="T137" s="164">
        <f>T138</f>
        <v>0.25</v>
      </c>
      <c r="AR137" s="159" t="s">
        <v>88</v>
      </c>
      <c r="AT137" s="165" t="s">
        <v>123</v>
      </c>
      <c r="AU137" s="165" t="s">
        <v>42</v>
      </c>
      <c r="AY137" s="159" t="s">
        <v>126</v>
      </c>
      <c r="BK137" s="166">
        <f>BK138</f>
        <v>0</v>
      </c>
    </row>
    <row r="138" spans="2:65" s="26" customFormat="1" ht="16.5" customHeight="1" x14ac:dyDescent="0.25">
      <c r="B138" s="169"/>
      <c r="C138" s="170">
        <v>33</v>
      </c>
      <c r="D138" s="170" t="s">
        <v>129</v>
      </c>
      <c r="E138" s="171" t="s">
        <v>244</v>
      </c>
      <c r="F138" s="172" t="s">
        <v>245</v>
      </c>
      <c r="G138" s="173" t="s">
        <v>86</v>
      </c>
      <c r="H138" s="174">
        <v>250</v>
      </c>
      <c r="I138" s="174"/>
      <c r="J138" s="174">
        <f>ROUND(I138*H138,3)</f>
        <v>0</v>
      </c>
      <c r="K138" s="172" t="s">
        <v>156</v>
      </c>
      <c r="L138" s="132"/>
      <c r="M138" s="183" t="s">
        <v>9</v>
      </c>
      <c r="N138" s="184" t="s">
        <v>27</v>
      </c>
      <c r="O138" s="185">
        <v>4.9119999999999997E-2</v>
      </c>
      <c r="P138" s="185">
        <f>O138*H138</f>
        <v>12.28</v>
      </c>
      <c r="Q138" s="185">
        <v>5.0000000000000002E-5</v>
      </c>
      <c r="R138" s="185">
        <f>Q138*H138</f>
        <v>1.2500000000000001E-2</v>
      </c>
      <c r="S138" s="185">
        <v>1E-3</v>
      </c>
      <c r="T138" s="186">
        <f>S138*H138</f>
        <v>0.25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246</v>
      </c>
    </row>
    <row r="139" spans="2:65" s="26" customFormat="1" ht="6.95" customHeight="1" x14ac:dyDescent="0.25">
      <c r="B139" s="141"/>
      <c r="C139" s="36"/>
      <c r="D139" s="36"/>
      <c r="E139" s="36"/>
      <c r="F139" s="36"/>
      <c r="G139" s="36"/>
      <c r="H139" s="36"/>
      <c r="I139" s="36"/>
      <c r="J139" s="36"/>
      <c r="K139" s="36"/>
      <c r="L139" s="132"/>
    </row>
  </sheetData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2"/>
  <sheetViews>
    <sheetView topLeftCell="A82" workbookViewId="0">
      <selection activeCell="I92" sqref="I92:I153"/>
    </sheetView>
  </sheetViews>
  <sheetFormatPr defaultColWidth="7.85546875" defaultRowHeight="11.25" x14ac:dyDescent="0.2"/>
  <cols>
    <col min="1" max="1" width="7.140625" style="13" customWidth="1"/>
    <col min="2" max="2" width="1.42578125" style="13" customWidth="1"/>
    <col min="3" max="3" width="3.5703125" style="13" customWidth="1"/>
    <col min="4" max="4" width="3.7109375" style="13" customWidth="1"/>
    <col min="5" max="5" width="14.7109375" style="13" customWidth="1"/>
    <col min="6" max="6" width="86.42578125" style="13" customWidth="1"/>
    <col min="7" max="7" width="7.42578125" style="13" customWidth="1"/>
    <col min="8" max="8" width="9.5703125" style="13" customWidth="1"/>
    <col min="9" max="9" width="12.140625" style="13" customWidth="1"/>
    <col min="10" max="10" width="20.140625" style="13" customWidth="1"/>
    <col min="11" max="11" width="13.28515625" style="13" hidden="1" customWidth="1"/>
    <col min="12" max="12" width="8" style="13" customWidth="1"/>
    <col min="13" max="13" width="9.28515625" style="13" hidden="1" customWidth="1"/>
    <col min="14" max="14" width="7.85546875" style="13"/>
    <col min="15" max="20" width="12.140625" style="13" hidden="1" customWidth="1"/>
    <col min="21" max="21" width="14" style="13" hidden="1" customWidth="1"/>
    <col min="22" max="22" width="10.5703125" style="13" customWidth="1"/>
    <col min="23" max="23" width="14" style="13" customWidth="1"/>
    <col min="24" max="24" width="10.5703125" style="13" customWidth="1"/>
    <col min="25" max="25" width="12.85546875" style="13" customWidth="1"/>
    <col min="26" max="26" width="9.42578125" style="13" customWidth="1"/>
    <col min="27" max="27" width="12.85546875" style="13" customWidth="1"/>
    <col min="28" max="28" width="14" style="13" customWidth="1"/>
    <col min="29" max="29" width="9.42578125" style="13" customWidth="1"/>
    <col min="30" max="30" width="12.85546875" style="13" customWidth="1"/>
    <col min="31" max="31" width="14" style="13" customWidth="1"/>
    <col min="32" max="16384" width="7.85546875" style="13"/>
  </cols>
  <sheetData>
    <row r="1" spans="1:46" x14ac:dyDescent="0.2">
      <c r="A1" s="127"/>
    </row>
    <row r="2" spans="1:46" x14ac:dyDescent="0.2">
      <c r="L2" s="280" t="s">
        <v>84</v>
      </c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28" t="s">
        <v>57</v>
      </c>
    </row>
    <row r="3" spans="1:46" x14ac:dyDescent="0.2">
      <c r="B3" s="129"/>
      <c r="C3" s="15"/>
      <c r="D3" s="15"/>
      <c r="E3" s="15"/>
      <c r="F3" s="15"/>
      <c r="G3" s="15"/>
      <c r="H3" s="15"/>
      <c r="I3" s="15"/>
      <c r="J3" s="15"/>
      <c r="K3" s="15"/>
      <c r="L3" s="130"/>
      <c r="AT3" s="128" t="s">
        <v>39</v>
      </c>
    </row>
    <row r="4" spans="1:46" ht="18" x14ac:dyDescent="0.2">
      <c r="B4" s="130"/>
      <c r="D4" s="131" t="s">
        <v>92</v>
      </c>
      <c r="L4" s="130"/>
      <c r="M4" s="128" t="s">
        <v>93</v>
      </c>
      <c r="AT4" s="128" t="s">
        <v>1</v>
      </c>
    </row>
    <row r="5" spans="1:46" x14ac:dyDescent="0.2">
      <c r="B5" s="130"/>
      <c r="L5" s="130"/>
    </row>
    <row r="6" spans="1:46" x14ac:dyDescent="0.2">
      <c r="B6" s="130"/>
      <c r="D6" s="128" t="s">
        <v>7</v>
      </c>
      <c r="L6" s="130"/>
    </row>
    <row r="7" spans="1:46" x14ac:dyDescent="0.2">
      <c r="B7" s="130"/>
      <c r="E7" s="278" t="str">
        <f>'Rekapitulácia stavby'!K6</f>
        <v>Nemocnica Sv. Cyrila a Metoda v Bratislave</v>
      </c>
      <c r="F7" s="279"/>
      <c r="G7" s="279"/>
      <c r="H7" s="279"/>
      <c r="L7" s="130"/>
    </row>
    <row r="8" spans="1:46" s="26" customFormat="1" x14ac:dyDescent="0.25">
      <c r="B8" s="132"/>
      <c r="D8" s="128" t="s">
        <v>96</v>
      </c>
      <c r="L8" s="132"/>
    </row>
    <row r="9" spans="1:46" s="26" customFormat="1" ht="15" customHeight="1" x14ac:dyDescent="0.25">
      <c r="B9" s="132"/>
      <c r="E9" s="276" t="s">
        <v>518</v>
      </c>
      <c r="F9" s="277"/>
      <c r="G9" s="277"/>
      <c r="H9" s="277"/>
      <c r="L9" s="132"/>
    </row>
    <row r="10" spans="1:46" s="26" customFormat="1" x14ac:dyDescent="0.25">
      <c r="B10" s="132"/>
      <c r="L10" s="132"/>
    </row>
    <row r="11" spans="1:46" s="26" customFormat="1" x14ac:dyDescent="0.25">
      <c r="B11" s="132"/>
      <c r="D11" s="128" t="s">
        <v>8</v>
      </c>
      <c r="F11" s="128" t="s">
        <v>9</v>
      </c>
      <c r="I11" s="128" t="s">
        <v>10</v>
      </c>
      <c r="J11" s="128" t="s">
        <v>9</v>
      </c>
      <c r="L11" s="132"/>
    </row>
    <row r="12" spans="1:46" s="26" customFormat="1" x14ac:dyDescent="0.25">
      <c r="B12" s="132"/>
      <c r="D12" s="128" t="s">
        <v>11</v>
      </c>
      <c r="F12" s="128" t="s">
        <v>12</v>
      </c>
      <c r="I12" s="128" t="s">
        <v>13</v>
      </c>
      <c r="J12" s="41" t="e">
        <f>'[1]Rekapitulácia stavby'!#REF!</f>
        <v>#REF!</v>
      </c>
      <c r="L12" s="132"/>
    </row>
    <row r="13" spans="1:46" s="26" customFormat="1" x14ac:dyDescent="0.25">
      <c r="B13" s="132"/>
      <c r="L13" s="132"/>
    </row>
    <row r="14" spans="1:46" s="26" customFormat="1" x14ac:dyDescent="0.25">
      <c r="B14" s="132"/>
      <c r="D14" s="128" t="s">
        <v>14</v>
      </c>
      <c r="I14" s="128" t="s">
        <v>15</v>
      </c>
      <c r="J14" s="128" t="e">
        <f>IF('[1]Rekapitulácia stavby'!#REF!="","",'[1]Rekapitulácia stavby'!#REF!)</f>
        <v>#REF!</v>
      </c>
      <c r="L14" s="132"/>
    </row>
    <row r="15" spans="1:46" s="26" customFormat="1" x14ac:dyDescent="0.25">
      <c r="B15" s="132"/>
      <c r="E15" s="128" t="str">
        <f>IF('[1]Rekapitulácia stavby'!E11="","",'[1]Rekapitulácia stavby'!E11)</f>
        <v xml:space="preserve"> </v>
      </c>
      <c r="I15" s="128" t="s">
        <v>16</v>
      </c>
      <c r="J15" s="128" t="e">
        <f>IF('[1]Rekapitulácia stavby'!#REF!="","",'[1]Rekapitulácia stavby'!#REF!)</f>
        <v>#REF!</v>
      </c>
      <c r="L15" s="132"/>
    </row>
    <row r="16" spans="1:46" s="26" customFormat="1" x14ac:dyDescent="0.25">
      <c r="B16" s="132"/>
      <c r="L16" s="132"/>
    </row>
    <row r="17" spans="2:12" s="26" customFormat="1" x14ac:dyDescent="0.25">
      <c r="B17" s="132"/>
      <c r="D17" s="128" t="s">
        <v>17</v>
      </c>
      <c r="I17" s="128" t="s">
        <v>15</v>
      </c>
      <c r="J17" s="128" t="e">
        <f>'[1]Rekapitulácia stavby'!#REF!</f>
        <v>#REF!</v>
      </c>
      <c r="L17" s="132"/>
    </row>
    <row r="18" spans="2:12" s="26" customFormat="1" x14ac:dyDescent="0.25">
      <c r="B18" s="132"/>
      <c r="E18" s="279" t="str">
        <f>'[1]Rekapitulácia stavby'!E14</f>
        <v xml:space="preserve"> </v>
      </c>
      <c r="F18" s="279"/>
      <c r="G18" s="279"/>
      <c r="H18" s="279"/>
      <c r="I18" s="128" t="s">
        <v>16</v>
      </c>
      <c r="J18" s="128" t="e">
        <f>'[1]Rekapitulácia stavby'!#REF!</f>
        <v>#REF!</v>
      </c>
      <c r="L18" s="132"/>
    </row>
    <row r="19" spans="2:12" s="26" customFormat="1" x14ac:dyDescent="0.25">
      <c r="B19" s="132"/>
      <c r="L19" s="132"/>
    </row>
    <row r="20" spans="2:12" s="26" customFormat="1" x14ac:dyDescent="0.25">
      <c r="B20" s="132"/>
      <c r="D20" s="128" t="s">
        <v>18</v>
      </c>
      <c r="I20" s="128" t="s">
        <v>15</v>
      </c>
      <c r="J20" s="128" t="e">
        <f>IF('[1]Rekapitulácia stavby'!#REF!="","",'[1]Rekapitulácia stavby'!#REF!)</f>
        <v>#REF!</v>
      </c>
      <c r="L20" s="132"/>
    </row>
    <row r="21" spans="2:12" s="26" customFormat="1" x14ac:dyDescent="0.25">
      <c r="B21" s="132"/>
      <c r="E21" s="128" t="str">
        <f>IF('[1]Rekapitulácia stavby'!E17="","",'[1]Rekapitulácia stavby'!E17)</f>
        <v xml:space="preserve"> </v>
      </c>
      <c r="I21" s="128" t="s">
        <v>16</v>
      </c>
      <c r="J21" s="128" t="e">
        <f>IF('[1]Rekapitulácia stavby'!#REF!="","",'[1]Rekapitulácia stavby'!#REF!)</f>
        <v>#REF!</v>
      </c>
      <c r="L21" s="132"/>
    </row>
    <row r="22" spans="2:12" s="26" customFormat="1" x14ac:dyDescent="0.25">
      <c r="B22" s="132"/>
      <c r="L22" s="132"/>
    </row>
    <row r="23" spans="2:12" s="26" customFormat="1" x14ac:dyDescent="0.25">
      <c r="B23" s="132"/>
      <c r="D23" s="128" t="s">
        <v>19</v>
      </c>
      <c r="I23" s="128" t="s">
        <v>15</v>
      </c>
      <c r="J23" s="128" t="e">
        <f>IF('[1]Rekapitulácia stavby'!#REF!="","",'[1]Rekapitulácia stavby'!#REF!)</f>
        <v>#REF!</v>
      </c>
      <c r="L23" s="132"/>
    </row>
    <row r="24" spans="2:12" s="26" customFormat="1" x14ac:dyDescent="0.25">
      <c r="B24" s="132"/>
      <c r="E24" s="128" t="str">
        <f>IF('[1]Rekapitulácia stavby'!E20="","",'[1]Rekapitulácia stavby'!E20)</f>
        <v xml:space="preserve"> </v>
      </c>
      <c r="I24" s="128" t="s">
        <v>16</v>
      </c>
      <c r="J24" s="128" t="e">
        <f>IF('[1]Rekapitulácia stavby'!#REF!="","",'[1]Rekapitulácia stavby'!#REF!)</f>
        <v>#REF!</v>
      </c>
      <c r="L24" s="132"/>
    </row>
    <row r="25" spans="2:12" s="26" customFormat="1" x14ac:dyDescent="0.25">
      <c r="B25" s="132"/>
      <c r="L25" s="132"/>
    </row>
    <row r="26" spans="2:12" s="26" customFormat="1" x14ac:dyDescent="0.25">
      <c r="B26" s="132"/>
      <c r="D26" s="128" t="s">
        <v>20</v>
      </c>
      <c r="L26" s="132"/>
    </row>
    <row r="27" spans="2:12" s="42" customFormat="1" x14ac:dyDescent="0.25">
      <c r="B27" s="133"/>
      <c r="E27" s="278" t="s">
        <v>9</v>
      </c>
      <c r="F27" s="278"/>
      <c r="G27" s="278"/>
      <c r="H27" s="278"/>
      <c r="L27" s="133"/>
    </row>
    <row r="28" spans="2:12" s="26" customFormat="1" x14ac:dyDescent="0.25">
      <c r="B28" s="132"/>
      <c r="L28" s="132"/>
    </row>
    <row r="29" spans="2:12" s="26" customFormat="1" x14ac:dyDescent="0.25">
      <c r="B29" s="132"/>
      <c r="D29" s="134"/>
      <c r="E29" s="134"/>
      <c r="F29" s="134"/>
      <c r="G29" s="134"/>
      <c r="H29" s="134"/>
      <c r="I29" s="134"/>
      <c r="J29" s="134"/>
      <c r="K29" s="134"/>
      <c r="L29" s="132"/>
    </row>
    <row r="30" spans="2:12" s="26" customFormat="1" ht="15.75" x14ac:dyDescent="0.25">
      <c r="B30" s="132"/>
      <c r="D30" s="135" t="s">
        <v>21</v>
      </c>
      <c r="J30" s="136">
        <f>ROUND(J89, 2)</f>
        <v>0</v>
      </c>
      <c r="L30" s="132"/>
    </row>
    <row r="31" spans="2:12" s="26" customFormat="1" x14ac:dyDescent="0.25">
      <c r="B31" s="132"/>
      <c r="D31" s="134"/>
      <c r="E31" s="134"/>
      <c r="F31" s="134"/>
      <c r="G31" s="134"/>
      <c r="H31" s="134"/>
      <c r="I31" s="134"/>
      <c r="J31" s="134"/>
      <c r="K31" s="134"/>
      <c r="L31" s="132"/>
    </row>
    <row r="32" spans="2:12" s="26" customFormat="1" x14ac:dyDescent="0.25">
      <c r="B32" s="132"/>
      <c r="F32" s="137" t="s">
        <v>23</v>
      </c>
      <c r="I32" s="137" t="s">
        <v>22</v>
      </c>
      <c r="J32" s="137" t="s">
        <v>24</v>
      </c>
      <c r="L32" s="132"/>
    </row>
    <row r="33" spans="2:12" s="26" customFormat="1" x14ac:dyDescent="0.25">
      <c r="B33" s="132"/>
      <c r="D33" s="128" t="s">
        <v>25</v>
      </c>
      <c r="E33" s="128" t="s">
        <v>26</v>
      </c>
      <c r="F33" s="138">
        <f>ROUND((SUM(BE89:BE144)),  2)</f>
        <v>0</v>
      </c>
      <c r="I33" s="139">
        <v>0.2</v>
      </c>
      <c r="J33" s="138">
        <f>ROUND(((SUM(BE89:BE144))*I33),  2)</f>
        <v>0</v>
      </c>
      <c r="L33" s="132"/>
    </row>
    <row r="34" spans="2:12" s="26" customFormat="1" x14ac:dyDescent="0.25">
      <c r="B34" s="132"/>
      <c r="E34" s="128" t="s">
        <v>27</v>
      </c>
      <c r="F34" s="138">
        <f>ROUND((SUM(BF89:BF144)),  2)</f>
        <v>0</v>
      </c>
      <c r="I34" s="139">
        <v>0.2</v>
      </c>
      <c r="J34" s="138">
        <f>ROUND(((SUM(BF89:BF144))*I34),  2)</f>
        <v>0</v>
      </c>
      <c r="L34" s="132"/>
    </row>
    <row r="35" spans="2:12" s="26" customFormat="1" x14ac:dyDescent="0.25">
      <c r="B35" s="132"/>
      <c r="E35" s="128" t="s">
        <v>28</v>
      </c>
      <c r="F35" s="138">
        <f>ROUND((SUM(BG89:BG144)),  2)</f>
        <v>0</v>
      </c>
      <c r="I35" s="139">
        <v>0.2</v>
      </c>
      <c r="J35" s="138">
        <f>0</f>
        <v>0</v>
      </c>
      <c r="L35" s="132"/>
    </row>
    <row r="36" spans="2:12" s="26" customFormat="1" x14ac:dyDescent="0.25">
      <c r="B36" s="132"/>
      <c r="E36" s="128" t="s">
        <v>29</v>
      </c>
      <c r="F36" s="138">
        <f>ROUND((SUM(BH89:BH144)),  2)</f>
        <v>0</v>
      </c>
      <c r="I36" s="139">
        <v>0.2</v>
      </c>
      <c r="J36" s="138">
        <f>0</f>
        <v>0</v>
      </c>
      <c r="L36" s="132"/>
    </row>
    <row r="37" spans="2:12" s="26" customFormat="1" x14ac:dyDescent="0.25">
      <c r="B37" s="132"/>
      <c r="E37" s="128" t="s">
        <v>30</v>
      </c>
      <c r="F37" s="138">
        <f>ROUND((SUM(BI89:BI144)),  2)</f>
        <v>0</v>
      </c>
      <c r="I37" s="139">
        <v>0</v>
      </c>
      <c r="J37" s="138">
        <f>0</f>
        <v>0</v>
      </c>
      <c r="L37" s="132"/>
    </row>
    <row r="38" spans="2:12" s="26" customFormat="1" x14ac:dyDescent="0.25">
      <c r="B38" s="132"/>
      <c r="L38" s="132"/>
    </row>
    <row r="39" spans="2:12" s="26" customFormat="1" ht="15.75" x14ac:dyDescent="0.25">
      <c r="B39" s="132"/>
      <c r="D39" s="67" t="s">
        <v>31</v>
      </c>
      <c r="E39" s="33"/>
      <c r="F39" s="33"/>
      <c r="G39" s="68" t="s">
        <v>32</v>
      </c>
      <c r="H39" s="69" t="s">
        <v>33</v>
      </c>
      <c r="I39" s="33"/>
      <c r="J39" s="70">
        <f>SUM(J30:J37)</f>
        <v>0</v>
      </c>
      <c r="K39" s="140"/>
      <c r="L39" s="132"/>
    </row>
    <row r="40" spans="2:12" s="26" customFormat="1" x14ac:dyDescent="0.25">
      <c r="B40" s="141"/>
      <c r="C40" s="36"/>
      <c r="D40" s="36"/>
      <c r="E40" s="36"/>
      <c r="F40" s="36"/>
      <c r="G40" s="36"/>
      <c r="H40" s="36"/>
      <c r="I40" s="36"/>
      <c r="J40" s="36"/>
      <c r="K40" s="36"/>
      <c r="L40" s="132"/>
    </row>
    <row r="44" spans="2:12" s="26" customFormat="1" x14ac:dyDescent="0.25">
      <c r="B44" s="142"/>
      <c r="C44" s="37"/>
      <c r="D44" s="37"/>
      <c r="E44" s="37"/>
      <c r="F44" s="37"/>
      <c r="G44" s="37"/>
      <c r="H44" s="37"/>
      <c r="I44" s="37"/>
      <c r="J44" s="37"/>
      <c r="K44" s="37"/>
      <c r="L44" s="132"/>
    </row>
    <row r="45" spans="2:12" s="26" customFormat="1" ht="18" x14ac:dyDescent="0.25">
      <c r="B45" s="132"/>
      <c r="C45" s="131" t="s">
        <v>97</v>
      </c>
      <c r="L45" s="132"/>
    </row>
    <row r="46" spans="2:12" s="26" customFormat="1" x14ac:dyDescent="0.25">
      <c r="B46" s="132"/>
      <c r="L46" s="132"/>
    </row>
    <row r="47" spans="2:12" s="26" customFormat="1" x14ac:dyDescent="0.25">
      <c r="B47" s="132"/>
      <c r="C47" s="128" t="s">
        <v>7</v>
      </c>
      <c r="L47" s="132"/>
    </row>
    <row r="48" spans="2:12" s="26" customFormat="1" x14ac:dyDescent="0.25">
      <c r="B48" s="132"/>
      <c r="E48" s="278" t="str">
        <f>E7</f>
        <v>Nemocnica Sv. Cyrila a Metoda v Bratislave</v>
      </c>
      <c r="F48" s="279"/>
      <c r="G48" s="279"/>
      <c r="H48" s="279"/>
      <c r="L48" s="132"/>
    </row>
    <row r="49" spans="2:47" s="26" customFormat="1" x14ac:dyDescent="0.25">
      <c r="B49" s="132"/>
      <c r="C49" s="128" t="s">
        <v>96</v>
      </c>
      <c r="L49" s="132"/>
    </row>
    <row r="50" spans="2:47" s="26" customFormat="1" ht="15" customHeight="1" x14ac:dyDescent="0.25">
      <c r="B50" s="132"/>
      <c r="E50" s="276" t="str">
        <f>E9</f>
        <v xml:space="preserve">E-  montáž </v>
      </c>
      <c r="F50" s="277"/>
      <c r="G50" s="277"/>
      <c r="H50" s="277"/>
      <c r="L50" s="132"/>
    </row>
    <row r="51" spans="2:47" s="26" customFormat="1" x14ac:dyDescent="0.25">
      <c r="B51" s="132"/>
      <c r="L51" s="132"/>
    </row>
    <row r="52" spans="2:47" s="26" customFormat="1" x14ac:dyDescent="0.25">
      <c r="B52" s="132"/>
      <c r="C52" s="128" t="s">
        <v>11</v>
      </c>
      <c r="F52" s="128" t="str">
        <f>F12</f>
        <v xml:space="preserve"> </v>
      </c>
      <c r="I52" s="128" t="s">
        <v>13</v>
      </c>
      <c r="J52" s="41" t="e">
        <f>IF(J12="","",J12)</f>
        <v>#REF!</v>
      </c>
      <c r="L52" s="132"/>
    </row>
    <row r="53" spans="2:47" s="26" customFormat="1" x14ac:dyDescent="0.25">
      <c r="B53" s="132"/>
      <c r="L53" s="132"/>
    </row>
    <row r="54" spans="2:47" s="26" customFormat="1" x14ac:dyDescent="0.25">
      <c r="B54" s="132"/>
      <c r="C54" s="128" t="s">
        <v>14</v>
      </c>
      <c r="F54" s="128" t="str">
        <f>E15</f>
        <v xml:space="preserve"> </v>
      </c>
      <c r="I54" s="128" t="s">
        <v>18</v>
      </c>
      <c r="J54" s="143" t="str">
        <f>E21</f>
        <v xml:space="preserve"> </v>
      </c>
      <c r="L54" s="132"/>
    </row>
    <row r="55" spans="2:47" s="26" customFormat="1" x14ac:dyDescent="0.25">
      <c r="B55" s="132"/>
      <c r="C55" s="128" t="s">
        <v>17</v>
      </c>
      <c r="F55" s="128" t="str">
        <f>IF(E18="","",E18)</f>
        <v xml:space="preserve"> </v>
      </c>
      <c r="I55" s="128" t="s">
        <v>19</v>
      </c>
      <c r="J55" s="143" t="str">
        <f>E24</f>
        <v xml:space="preserve"> </v>
      </c>
      <c r="L55" s="132"/>
    </row>
    <row r="56" spans="2:47" s="26" customFormat="1" x14ac:dyDescent="0.25">
      <c r="B56" s="132"/>
      <c r="L56" s="132"/>
    </row>
    <row r="57" spans="2:47" s="26" customFormat="1" ht="12" x14ac:dyDescent="0.25">
      <c r="B57" s="132"/>
      <c r="C57" s="144" t="s">
        <v>98</v>
      </c>
      <c r="J57" s="145" t="s">
        <v>99</v>
      </c>
      <c r="L57" s="132"/>
    </row>
    <row r="58" spans="2:47" s="26" customFormat="1" x14ac:dyDescent="0.25">
      <c r="B58" s="132"/>
      <c r="L58" s="132"/>
    </row>
    <row r="59" spans="2:47" s="26" customFormat="1" ht="15.75" x14ac:dyDescent="0.25">
      <c r="B59" s="132"/>
      <c r="C59" s="146" t="s">
        <v>100</v>
      </c>
      <c r="J59" s="136">
        <f>J89</f>
        <v>0</v>
      </c>
      <c r="L59" s="132"/>
      <c r="AU59" s="128" t="s">
        <v>101</v>
      </c>
    </row>
    <row r="60" spans="2:47" s="147" customFormat="1" ht="15" x14ac:dyDescent="0.25">
      <c r="B60" s="78"/>
      <c r="D60" s="80" t="s">
        <v>102</v>
      </c>
      <c r="E60" s="81"/>
      <c r="F60" s="81"/>
      <c r="G60" s="81"/>
      <c r="H60" s="81"/>
      <c r="I60" s="81"/>
      <c r="J60" s="82">
        <f>J90</f>
        <v>0</v>
      </c>
      <c r="L60" s="78"/>
    </row>
    <row r="61" spans="2:47" s="148" customFormat="1" ht="12.75" x14ac:dyDescent="0.25">
      <c r="B61" s="83"/>
      <c r="D61" s="85" t="s">
        <v>103</v>
      </c>
      <c r="E61" s="86"/>
      <c r="F61" s="86"/>
      <c r="G61" s="86"/>
      <c r="H61" s="86"/>
      <c r="I61" s="86"/>
      <c r="J61" s="87">
        <f>J91</f>
        <v>0</v>
      </c>
      <c r="L61" s="83"/>
    </row>
    <row r="62" spans="2:47" s="148" customFormat="1" ht="12.75" x14ac:dyDescent="0.25">
      <c r="B62" s="83"/>
      <c r="D62" s="85" t="s">
        <v>250</v>
      </c>
      <c r="E62" s="86"/>
      <c r="F62" s="86"/>
      <c r="G62" s="86"/>
      <c r="H62" s="86"/>
      <c r="I62" s="86"/>
      <c r="J62" s="87">
        <f>J95</f>
        <v>0</v>
      </c>
      <c r="L62" s="83"/>
    </row>
    <row r="63" spans="2:47" s="147" customFormat="1" ht="15" x14ac:dyDescent="0.25">
      <c r="B63" s="78"/>
      <c r="D63" s="80" t="s">
        <v>105</v>
      </c>
      <c r="E63" s="81"/>
      <c r="F63" s="81"/>
      <c r="G63" s="81"/>
      <c r="H63" s="81"/>
      <c r="I63" s="81"/>
      <c r="J63" s="82">
        <f>J97</f>
        <v>0</v>
      </c>
      <c r="L63" s="78"/>
    </row>
    <row r="64" spans="2:47" s="148" customFormat="1" ht="12.75" x14ac:dyDescent="0.25">
      <c r="B64" s="83"/>
      <c r="D64" s="85" t="s">
        <v>106</v>
      </c>
      <c r="E64" s="86"/>
      <c r="F64" s="86"/>
      <c r="G64" s="86"/>
      <c r="H64" s="86"/>
      <c r="I64" s="86"/>
      <c r="J64" s="87">
        <f>J98</f>
        <v>0</v>
      </c>
      <c r="L64" s="83"/>
    </row>
    <row r="65" spans="2:12" s="148" customFormat="1" ht="12.75" x14ac:dyDescent="0.25">
      <c r="B65" s="83"/>
      <c r="D65" s="85" t="s">
        <v>251</v>
      </c>
      <c r="E65" s="86"/>
      <c r="F65" s="86"/>
      <c r="G65" s="86"/>
      <c r="H65" s="86"/>
      <c r="I65" s="86"/>
      <c r="J65" s="87">
        <f>J112</f>
        <v>0</v>
      </c>
      <c r="L65" s="83"/>
    </row>
    <row r="66" spans="2:12" s="148" customFormat="1" ht="12.75" x14ac:dyDescent="0.25">
      <c r="B66" s="83"/>
      <c r="D66" s="85" t="s">
        <v>107</v>
      </c>
      <c r="E66" s="86"/>
      <c r="F66" s="86"/>
      <c r="G66" s="86"/>
      <c r="H66" s="86"/>
      <c r="I66" s="86"/>
      <c r="J66" s="87">
        <f>J116</f>
        <v>0</v>
      </c>
      <c r="L66" s="83"/>
    </row>
    <row r="67" spans="2:12" s="148" customFormat="1" ht="12.75" x14ac:dyDescent="0.25">
      <c r="B67" s="83"/>
      <c r="D67" s="85" t="s">
        <v>108</v>
      </c>
      <c r="E67" s="86"/>
      <c r="F67" s="86"/>
      <c r="G67" s="86"/>
      <c r="H67" s="86"/>
      <c r="I67" s="86"/>
      <c r="J67" s="87">
        <f>J134</f>
        <v>0</v>
      </c>
      <c r="L67" s="83"/>
    </row>
    <row r="68" spans="2:12" s="147" customFormat="1" ht="15" x14ac:dyDescent="0.25">
      <c r="B68" s="78"/>
      <c r="D68" s="80" t="s">
        <v>252</v>
      </c>
      <c r="E68" s="81"/>
      <c r="F68" s="81"/>
      <c r="G68" s="81"/>
      <c r="H68" s="81"/>
      <c r="I68" s="81"/>
      <c r="J68" s="82">
        <f>J142</f>
        <v>0</v>
      </c>
      <c r="L68" s="78"/>
    </row>
    <row r="69" spans="2:12" s="148" customFormat="1" ht="12.75" x14ac:dyDescent="0.25">
      <c r="B69" s="83"/>
      <c r="D69" s="85" t="s">
        <v>253</v>
      </c>
      <c r="E69" s="86"/>
      <c r="F69" s="86"/>
      <c r="G69" s="86"/>
      <c r="H69" s="86"/>
      <c r="I69" s="86"/>
      <c r="J69" s="87">
        <f>J143</f>
        <v>0</v>
      </c>
      <c r="L69" s="83"/>
    </row>
    <row r="70" spans="2:12" s="26" customFormat="1" x14ac:dyDescent="0.25">
      <c r="B70" s="132"/>
      <c r="L70" s="132"/>
    </row>
    <row r="71" spans="2:12" s="26" customFormat="1" x14ac:dyDescent="0.25">
      <c r="B71" s="141"/>
      <c r="C71" s="36"/>
      <c r="D71" s="36"/>
      <c r="E71" s="36"/>
      <c r="F71" s="36"/>
      <c r="G71" s="36"/>
      <c r="H71" s="36"/>
      <c r="I71" s="36"/>
      <c r="J71" s="36"/>
      <c r="K71" s="36"/>
      <c r="L71" s="132"/>
    </row>
    <row r="75" spans="2:12" s="26" customFormat="1" x14ac:dyDescent="0.25">
      <c r="B75" s="142"/>
      <c r="C75" s="37"/>
      <c r="D75" s="37"/>
      <c r="E75" s="37"/>
      <c r="F75" s="37"/>
      <c r="G75" s="37"/>
      <c r="H75" s="37"/>
      <c r="I75" s="37"/>
      <c r="J75" s="37"/>
      <c r="K75" s="37"/>
      <c r="L75" s="132"/>
    </row>
    <row r="76" spans="2:12" s="26" customFormat="1" ht="18" x14ac:dyDescent="0.25">
      <c r="B76" s="132"/>
      <c r="C76" s="131" t="s">
        <v>109</v>
      </c>
      <c r="L76" s="132"/>
    </row>
    <row r="77" spans="2:12" s="26" customFormat="1" x14ac:dyDescent="0.25">
      <c r="B77" s="132"/>
      <c r="L77" s="132"/>
    </row>
    <row r="78" spans="2:12" s="26" customFormat="1" x14ac:dyDescent="0.25">
      <c r="B78" s="132"/>
      <c r="C78" s="128" t="s">
        <v>7</v>
      </c>
      <c r="L78" s="132"/>
    </row>
    <row r="79" spans="2:12" s="26" customFormat="1" x14ac:dyDescent="0.25">
      <c r="B79" s="132"/>
      <c r="E79" s="278" t="str">
        <f>E7</f>
        <v>Nemocnica Sv. Cyrila a Metoda v Bratislave</v>
      </c>
      <c r="F79" s="279"/>
      <c r="G79" s="279"/>
      <c r="H79" s="279"/>
      <c r="L79" s="132"/>
    </row>
    <row r="80" spans="2:12" s="26" customFormat="1" x14ac:dyDescent="0.25">
      <c r="B80" s="132"/>
      <c r="C80" s="128" t="s">
        <v>96</v>
      </c>
      <c r="L80" s="132"/>
    </row>
    <row r="81" spans="2:65" s="26" customFormat="1" ht="16.5" customHeight="1" x14ac:dyDescent="0.25">
      <c r="B81" s="132"/>
      <c r="E81" s="276" t="s">
        <v>501</v>
      </c>
      <c r="F81" s="277"/>
      <c r="G81" s="277"/>
      <c r="H81" s="277"/>
      <c r="L81" s="132"/>
    </row>
    <row r="82" spans="2:65" s="26" customFormat="1" ht="6.95" customHeight="1" x14ac:dyDescent="0.25">
      <c r="B82" s="132"/>
      <c r="L82" s="132"/>
    </row>
    <row r="83" spans="2:65" s="26" customFormat="1" ht="12" customHeight="1" x14ac:dyDescent="0.25">
      <c r="B83" s="132"/>
      <c r="C83" s="128" t="s">
        <v>11</v>
      </c>
      <c r="F83" s="128" t="str">
        <f>F12</f>
        <v xml:space="preserve"> </v>
      </c>
      <c r="I83" s="128" t="s">
        <v>13</v>
      </c>
      <c r="J83" s="41" t="e">
        <f>IF(J12="","",J12)</f>
        <v>#REF!</v>
      </c>
      <c r="L83" s="132"/>
    </row>
    <row r="84" spans="2:65" s="26" customFormat="1" ht="6.95" customHeight="1" x14ac:dyDescent="0.25">
      <c r="B84" s="132"/>
      <c r="L84" s="132"/>
    </row>
    <row r="85" spans="2:65" s="26" customFormat="1" ht="13.7" customHeight="1" x14ac:dyDescent="0.25">
      <c r="B85" s="132"/>
      <c r="C85" s="128" t="s">
        <v>14</v>
      </c>
      <c r="F85" s="128" t="str">
        <f>E15</f>
        <v xml:space="preserve"> </v>
      </c>
      <c r="I85" s="128" t="s">
        <v>18</v>
      </c>
      <c r="J85" s="143" t="str">
        <f>E21</f>
        <v xml:space="preserve"> </v>
      </c>
      <c r="L85" s="132"/>
    </row>
    <row r="86" spans="2:65" s="26" customFormat="1" ht="13.7" customHeight="1" x14ac:dyDescent="0.25">
      <c r="B86" s="132"/>
      <c r="C86" s="128" t="s">
        <v>17</v>
      </c>
      <c r="F86" s="128" t="str">
        <f>IF(E18="","",E18)</f>
        <v xml:space="preserve"> </v>
      </c>
      <c r="I86" s="128" t="s">
        <v>19</v>
      </c>
      <c r="J86" s="143" t="str">
        <f>E24</f>
        <v xml:space="preserve"> </v>
      </c>
      <c r="L86" s="132"/>
    </row>
    <row r="87" spans="2:65" s="26" customFormat="1" ht="10.35" customHeight="1" x14ac:dyDescent="0.25">
      <c r="B87" s="132"/>
      <c r="L87" s="132"/>
    </row>
    <row r="88" spans="2:65" s="151" customFormat="1" ht="29.25" customHeight="1" x14ac:dyDescent="0.25">
      <c r="B88" s="149"/>
      <c r="C88" s="89" t="s">
        <v>111</v>
      </c>
      <c r="D88" s="90" t="s">
        <v>112</v>
      </c>
      <c r="E88" s="90" t="s">
        <v>35</v>
      </c>
      <c r="F88" s="90" t="s">
        <v>36</v>
      </c>
      <c r="G88" s="90" t="s">
        <v>113</v>
      </c>
      <c r="H88" s="90" t="s">
        <v>114</v>
      </c>
      <c r="I88" s="90" t="s">
        <v>115</v>
      </c>
      <c r="J88" s="91" t="s">
        <v>99</v>
      </c>
      <c r="K88" s="150" t="s">
        <v>116</v>
      </c>
      <c r="L88" s="149"/>
      <c r="M88" s="89" t="s">
        <v>9</v>
      </c>
      <c r="N88" s="90" t="s">
        <v>25</v>
      </c>
      <c r="O88" s="90" t="s">
        <v>117</v>
      </c>
      <c r="P88" s="90" t="s">
        <v>118</v>
      </c>
      <c r="Q88" s="90" t="s">
        <v>119</v>
      </c>
      <c r="R88" s="90" t="s">
        <v>120</v>
      </c>
      <c r="S88" s="90" t="s">
        <v>121</v>
      </c>
      <c r="T88" s="91" t="s">
        <v>122</v>
      </c>
    </row>
    <row r="89" spans="2:65" s="26" customFormat="1" ht="22.9" customHeight="1" x14ac:dyDescent="0.25">
      <c r="B89" s="132"/>
      <c r="C89" s="146" t="s">
        <v>100</v>
      </c>
      <c r="J89" s="152">
        <f>J90+J97+J142+J146</f>
        <v>0</v>
      </c>
      <c r="L89" s="132"/>
      <c r="M89" s="153"/>
      <c r="N89" s="134"/>
      <c r="O89" s="134"/>
      <c r="P89" s="154">
        <f>P90+P97+P142</f>
        <v>3130.3539730000002</v>
      </c>
      <c r="Q89" s="134"/>
      <c r="R89" s="154">
        <f>R90+R97+R142</f>
        <v>57.75597197499998</v>
      </c>
      <c r="S89" s="134"/>
      <c r="T89" s="155">
        <f>T90+T97+T142</f>
        <v>0</v>
      </c>
      <c r="AT89" s="128" t="s">
        <v>123</v>
      </c>
      <c r="AU89" s="128" t="s">
        <v>101</v>
      </c>
      <c r="BK89" s="156">
        <f>BK90+BK97+BK142</f>
        <v>0</v>
      </c>
    </row>
    <row r="90" spans="2:65" s="158" customFormat="1" ht="25.9" customHeight="1" x14ac:dyDescent="0.2">
      <c r="B90" s="157"/>
      <c r="D90" s="159" t="s">
        <v>123</v>
      </c>
      <c r="E90" s="160" t="s">
        <v>124</v>
      </c>
      <c r="F90" s="160" t="s">
        <v>125</v>
      </c>
      <c r="J90" s="161">
        <f>J91+J95</f>
        <v>0</v>
      </c>
      <c r="L90" s="157"/>
      <c r="M90" s="162"/>
      <c r="P90" s="163">
        <f>P91+P95</f>
        <v>364.02293000000003</v>
      </c>
      <c r="R90" s="163">
        <f>R91+R95</f>
        <v>11.0658891</v>
      </c>
      <c r="T90" s="164">
        <f>T91+T95</f>
        <v>0</v>
      </c>
      <c r="AR90" s="159" t="s">
        <v>42</v>
      </c>
      <c r="AT90" s="165" t="s">
        <v>123</v>
      </c>
      <c r="AU90" s="165" t="s">
        <v>39</v>
      </c>
      <c r="AY90" s="159" t="s">
        <v>126</v>
      </c>
      <c r="BK90" s="166">
        <f>BK91+BK95</f>
        <v>0</v>
      </c>
    </row>
    <row r="91" spans="2:65" s="158" customFormat="1" ht="22.9" customHeight="1" x14ac:dyDescent="0.2">
      <c r="B91" s="157"/>
      <c r="D91" s="159" t="s">
        <v>123</v>
      </c>
      <c r="E91" s="167" t="s">
        <v>127</v>
      </c>
      <c r="F91" s="167" t="s">
        <v>128</v>
      </c>
      <c r="J91" s="168">
        <f>SUM(J92:J93)</f>
        <v>0</v>
      </c>
      <c r="L91" s="157"/>
      <c r="M91" s="162"/>
      <c r="P91" s="163">
        <f>SUM(P92:P94)</f>
        <v>358.10523000000001</v>
      </c>
      <c r="R91" s="163">
        <f>SUM(R92:R94)</f>
        <v>11.0658891</v>
      </c>
      <c r="T91" s="164">
        <f>SUM(T92:T94)</f>
        <v>0</v>
      </c>
      <c r="AR91" s="159" t="s">
        <v>42</v>
      </c>
      <c r="AT91" s="165" t="s">
        <v>123</v>
      </c>
      <c r="AU91" s="165" t="s">
        <v>42</v>
      </c>
      <c r="AY91" s="159" t="s">
        <v>126</v>
      </c>
      <c r="BK91" s="166">
        <f>SUM(BK92:BK94)</f>
        <v>0</v>
      </c>
    </row>
    <row r="92" spans="2:65" s="26" customFormat="1" ht="16.5" customHeight="1" x14ac:dyDescent="0.25">
      <c r="B92" s="169"/>
      <c r="C92" s="170" t="s">
        <v>42</v>
      </c>
      <c r="D92" s="170" t="s">
        <v>129</v>
      </c>
      <c r="E92" s="171" t="s">
        <v>255</v>
      </c>
      <c r="F92" s="172" t="s">
        <v>256</v>
      </c>
      <c r="G92" s="173" t="s">
        <v>136</v>
      </c>
      <c r="H92" s="174">
        <v>21</v>
      </c>
      <c r="I92" s="174"/>
      <c r="J92" s="174">
        <f>ROUND(I92*H92,3)</f>
        <v>0</v>
      </c>
      <c r="K92" s="172" t="s">
        <v>156</v>
      </c>
      <c r="L92" s="132"/>
      <c r="M92" s="175" t="s">
        <v>9</v>
      </c>
      <c r="N92" s="176" t="s">
        <v>27</v>
      </c>
      <c r="O92" s="177">
        <v>0.318</v>
      </c>
      <c r="P92" s="177">
        <f>O92*H92</f>
        <v>6.6779999999999999</v>
      </c>
      <c r="Q92" s="177">
        <v>4.0899999999999999E-3</v>
      </c>
      <c r="R92" s="177">
        <f>Q92*H92</f>
        <v>8.5889999999999994E-2</v>
      </c>
      <c r="S92" s="177">
        <v>0</v>
      </c>
      <c r="T92" s="178">
        <f>S92*H92</f>
        <v>0</v>
      </c>
      <c r="AR92" s="128" t="s">
        <v>132</v>
      </c>
      <c r="AT92" s="128" t="s">
        <v>129</v>
      </c>
      <c r="AU92" s="128" t="s">
        <v>88</v>
      </c>
      <c r="AY92" s="128" t="s">
        <v>126</v>
      </c>
      <c r="BE92" s="138">
        <f>IF(N92="základná",J92,0)</f>
        <v>0</v>
      </c>
      <c r="BF92" s="138">
        <f>IF(N92="znížená",J92,0)</f>
        <v>0</v>
      </c>
      <c r="BG92" s="138">
        <f>IF(N92="zákl. prenesená",J92,0)</f>
        <v>0</v>
      </c>
      <c r="BH92" s="138">
        <f>IF(N92="zníž. prenesená",J92,0)</f>
        <v>0</v>
      </c>
      <c r="BI92" s="138">
        <f>IF(N92="nulová",J92,0)</f>
        <v>0</v>
      </c>
      <c r="BJ92" s="128" t="s">
        <v>88</v>
      </c>
      <c r="BK92" s="166">
        <f>ROUND(I92*H92,3)</f>
        <v>0</v>
      </c>
      <c r="BL92" s="128" t="s">
        <v>132</v>
      </c>
      <c r="BM92" s="128" t="s">
        <v>257</v>
      </c>
    </row>
    <row r="93" spans="2:65" s="26" customFormat="1" ht="16.5" customHeight="1" x14ac:dyDescent="0.25">
      <c r="B93" s="169"/>
      <c r="C93" s="170" t="s">
        <v>88</v>
      </c>
      <c r="D93" s="170" t="s">
        <v>129</v>
      </c>
      <c r="E93" s="171" t="s">
        <v>272</v>
      </c>
      <c r="F93" s="172" t="s">
        <v>423</v>
      </c>
      <c r="G93" s="173" t="s">
        <v>136</v>
      </c>
      <c r="H93" s="174">
        <v>1681.47</v>
      </c>
      <c r="I93" s="174"/>
      <c r="J93" s="174">
        <f>ROUND(I93*H93,3)</f>
        <v>0</v>
      </c>
      <c r="K93" s="172" t="s">
        <v>156</v>
      </c>
      <c r="L93" s="132"/>
      <c r="M93" s="175" t="s">
        <v>9</v>
      </c>
      <c r="N93" s="176" t="s">
        <v>27</v>
      </c>
      <c r="O93" s="177">
        <v>0.20899999999999999</v>
      </c>
      <c r="P93" s="177">
        <f>O93*H93</f>
        <v>351.42723000000001</v>
      </c>
      <c r="Q93" s="177">
        <v>6.5300000000000002E-3</v>
      </c>
      <c r="R93" s="177">
        <f>Q93*H93</f>
        <v>10.979999100000001</v>
      </c>
      <c r="S93" s="177">
        <v>0</v>
      </c>
      <c r="T93" s="178">
        <f>S93*H93</f>
        <v>0</v>
      </c>
      <c r="AR93" s="128" t="s">
        <v>132</v>
      </c>
      <c r="AT93" s="128" t="s">
        <v>129</v>
      </c>
      <c r="AU93" s="128" t="s">
        <v>88</v>
      </c>
      <c r="AY93" s="128" t="s">
        <v>126</v>
      </c>
      <c r="BE93" s="138">
        <f>IF(N93="základná",J93,0)</f>
        <v>0</v>
      </c>
      <c r="BF93" s="138">
        <f>IF(N93="znížená",J93,0)</f>
        <v>0</v>
      </c>
      <c r="BG93" s="138">
        <f>IF(N93="zákl. prenesená",J93,0)</f>
        <v>0</v>
      </c>
      <c r="BH93" s="138">
        <f>IF(N93="zníž. prenesená",J93,0)</f>
        <v>0</v>
      </c>
      <c r="BI93" s="138">
        <f>IF(N93="nulová",J93,0)</f>
        <v>0</v>
      </c>
      <c r="BJ93" s="128" t="s">
        <v>88</v>
      </c>
      <c r="BK93" s="166">
        <f>ROUND(I93*H93,3)</f>
        <v>0</v>
      </c>
      <c r="BL93" s="128" t="s">
        <v>132</v>
      </c>
      <c r="BM93" s="128" t="s">
        <v>274</v>
      </c>
    </row>
    <row r="94" spans="2:65" s="26" customFormat="1" x14ac:dyDescent="0.25">
      <c r="B94" s="132"/>
      <c r="D94" s="179" t="s">
        <v>161</v>
      </c>
      <c r="E94" s="128" t="s">
        <v>9</v>
      </c>
      <c r="F94" s="143" t="s">
        <v>275</v>
      </c>
      <c r="H94" s="166"/>
      <c r="L94" s="132"/>
      <c r="M94" s="180"/>
      <c r="T94" s="181"/>
      <c r="AT94" s="128" t="s">
        <v>161</v>
      </c>
      <c r="AU94" s="128" t="s">
        <v>88</v>
      </c>
      <c r="AV94" s="26" t="s">
        <v>88</v>
      </c>
      <c r="AW94" s="26" t="s">
        <v>163</v>
      </c>
      <c r="AX94" s="26" t="s">
        <v>42</v>
      </c>
      <c r="AY94" s="128" t="s">
        <v>126</v>
      </c>
    </row>
    <row r="95" spans="2:65" s="158" customFormat="1" ht="22.9" customHeight="1" x14ac:dyDescent="0.2">
      <c r="B95" s="157"/>
      <c r="D95" s="159" t="s">
        <v>123</v>
      </c>
      <c r="E95" s="167" t="s">
        <v>276</v>
      </c>
      <c r="F95" s="167" t="s">
        <v>277</v>
      </c>
      <c r="J95" s="168">
        <f>SUM(J96)</f>
        <v>0</v>
      </c>
      <c r="L95" s="157"/>
      <c r="M95" s="162"/>
      <c r="P95" s="163">
        <f>P96</f>
        <v>5.9177000000000008</v>
      </c>
      <c r="R95" s="163">
        <f>R96</f>
        <v>0</v>
      </c>
      <c r="T95" s="164">
        <f>T96</f>
        <v>0</v>
      </c>
      <c r="AR95" s="159" t="s">
        <v>42</v>
      </c>
      <c r="AT95" s="165" t="s">
        <v>123</v>
      </c>
      <c r="AU95" s="165" t="s">
        <v>42</v>
      </c>
      <c r="AY95" s="159" t="s">
        <v>126</v>
      </c>
      <c r="BK95" s="166">
        <f>BK96</f>
        <v>0</v>
      </c>
    </row>
    <row r="96" spans="2:65" s="26" customFormat="1" ht="16.5" customHeight="1" x14ac:dyDescent="0.25">
      <c r="B96" s="169"/>
      <c r="C96" s="170" t="s">
        <v>140</v>
      </c>
      <c r="D96" s="170" t="s">
        <v>129</v>
      </c>
      <c r="E96" s="171" t="s">
        <v>278</v>
      </c>
      <c r="F96" s="172" t="s">
        <v>279</v>
      </c>
      <c r="G96" s="173" t="s">
        <v>146</v>
      </c>
      <c r="H96" s="174">
        <v>17.405000000000001</v>
      </c>
      <c r="I96" s="174"/>
      <c r="J96" s="174">
        <f>ROUND(I96*H96,3)</f>
        <v>0</v>
      </c>
      <c r="K96" s="172" t="s">
        <v>156</v>
      </c>
      <c r="L96" s="132"/>
      <c r="M96" s="175" t="s">
        <v>9</v>
      </c>
      <c r="N96" s="176" t="s">
        <v>27</v>
      </c>
      <c r="O96" s="177">
        <v>0.34</v>
      </c>
      <c r="P96" s="177">
        <f>O96*H96</f>
        <v>5.9177000000000008</v>
      </c>
      <c r="Q96" s="177">
        <v>0</v>
      </c>
      <c r="R96" s="177">
        <f>Q96*H96</f>
        <v>0</v>
      </c>
      <c r="S96" s="177">
        <v>0</v>
      </c>
      <c r="T96" s="178">
        <f>S96*H96</f>
        <v>0</v>
      </c>
      <c r="AR96" s="128" t="s">
        <v>132</v>
      </c>
      <c r="AT96" s="128" t="s">
        <v>129</v>
      </c>
      <c r="AU96" s="128" t="s">
        <v>88</v>
      </c>
      <c r="AY96" s="128" t="s">
        <v>126</v>
      </c>
      <c r="BE96" s="138">
        <f>IF(N96="základná",J96,0)</f>
        <v>0</v>
      </c>
      <c r="BF96" s="138">
        <f>IF(N96="znížená",J96,0)</f>
        <v>0</v>
      </c>
      <c r="BG96" s="138">
        <f>IF(N96="zákl. prenesená",J96,0)</f>
        <v>0</v>
      </c>
      <c r="BH96" s="138">
        <f>IF(N96="zníž. prenesená",J96,0)</f>
        <v>0</v>
      </c>
      <c r="BI96" s="138">
        <f>IF(N96="nulová",J96,0)</f>
        <v>0</v>
      </c>
      <c r="BJ96" s="128" t="s">
        <v>88</v>
      </c>
      <c r="BK96" s="166">
        <f>ROUND(I96*H96,3)</f>
        <v>0</v>
      </c>
      <c r="BL96" s="128" t="s">
        <v>132</v>
      </c>
      <c r="BM96" s="128" t="s">
        <v>280</v>
      </c>
    </row>
    <row r="97" spans="2:65" s="158" customFormat="1" ht="25.9" customHeight="1" x14ac:dyDescent="0.2">
      <c r="B97" s="157"/>
      <c r="D97" s="159" t="s">
        <v>123</v>
      </c>
      <c r="E97" s="160" t="s">
        <v>191</v>
      </c>
      <c r="F97" s="160" t="s">
        <v>192</v>
      </c>
      <c r="J97" s="161">
        <f>J98+J112+J116+J134+J137</f>
        <v>0</v>
      </c>
      <c r="L97" s="157"/>
      <c r="M97" s="162"/>
      <c r="P97" s="163">
        <f>P98+P112+P116+P134</f>
        <v>2766.181043</v>
      </c>
      <c r="R97" s="163">
        <f>R98+R112+R116+R134</f>
        <v>46.69008287499998</v>
      </c>
      <c r="T97" s="164">
        <f>T98+T112+T116+T134</f>
        <v>0</v>
      </c>
      <c r="AR97" s="159" t="s">
        <v>88</v>
      </c>
      <c r="AT97" s="165" t="s">
        <v>123</v>
      </c>
      <c r="AU97" s="165" t="s">
        <v>39</v>
      </c>
      <c r="AY97" s="159" t="s">
        <v>126</v>
      </c>
      <c r="BK97" s="166">
        <f>BK98+BK112+BK116+BK134</f>
        <v>0</v>
      </c>
    </row>
    <row r="98" spans="2:65" s="158" customFormat="1" ht="22.9" customHeight="1" x14ac:dyDescent="0.2">
      <c r="B98" s="157"/>
      <c r="D98" s="159" t="s">
        <v>123</v>
      </c>
      <c r="E98" s="167" t="s">
        <v>193</v>
      </c>
      <c r="F98" s="167" t="s">
        <v>194</v>
      </c>
      <c r="J98" s="168">
        <f>SUM(J99:J111)</f>
        <v>0</v>
      </c>
      <c r="L98" s="157"/>
      <c r="M98" s="162"/>
      <c r="P98" s="163">
        <f>SUM(P99:P111)</f>
        <v>1493.516523</v>
      </c>
      <c r="R98" s="163">
        <f>SUM(R99:R111)</f>
        <v>38.923779999999987</v>
      </c>
      <c r="T98" s="164">
        <f>SUM(T99:T111)</f>
        <v>0</v>
      </c>
      <c r="AR98" s="159" t="s">
        <v>88</v>
      </c>
      <c r="AT98" s="165" t="s">
        <v>123</v>
      </c>
      <c r="AU98" s="165" t="s">
        <v>42</v>
      </c>
      <c r="AY98" s="159" t="s">
        <v>126</v>
      </c>
      <c r="BK98" s="166">
        <f>SUM(BK99:BK111)</f>
        <v>0</v>
      </c>
    </row>
    <row r="99" spans="2:65" s="26" customFormat="1" ht="16.5" customHeight="1" x14ac:dyDescent="0.25">
      <c r="B99" s="169"/>
      <c r="C99" s="170" t="s">
        <v>132</v>
      </c>
      <c r="D99" s="170" t="s">
        <v>129</v>
      </c>
      <c r="E99" s="171" t="s">
        <v>281</v>
      </c>
      <c r="F99" s="172" t="s">
        <v>282</v>
      </c>
      <c r="G99" s="173" t="s">
        <v>136</v>
      </c>
      <c r="H99" s="174">
        <f>H103+H104</f>
        <v>2935.5</v>
      </c>
      <c r="I99" s="174"/>
      <c r="J99" s="174">
        <f>ROUND(I99*H99,3)</f>
        <v>0</v>
      </c>
      <c r="K99" s="172" t="s">
        <v>156</v>
      </c>
      <c r="L99" s="132"/>
      <c r="M99" s="175" t="s">
        <v>9</v>
      </c>
      <c r="N99" s="176" t="s">
        <v>27</v>
      </c>
      <c r="O99" s="177">
        <v>4.3029999999999999E-2</v>
      </c>
      <c r="P99" s="177">
        <f>O99*H99</f>
        <v>126.314565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28" t="s">
        <v>197</v>
      </c>
      <c r="AT99" s="128" t="s">
        <v>129</v>
      </c>
      <c r="AU99" s="128" t="s">
        <v>88</v>
      </c>
      <c r="AY99" s="128" t="s">
        <v>126</v>
      </c>
      <c r="BE99" s="138">
        <f>IF(N99="základná",J99,0)</f>
        <v>0</v>
      </c>
      <c r="BF99" s="138">
        <f>IF(N99="znížená",J99,0)</f>
        <v>0</v>
      </c>
      <c r="BG99" s="138">
        <f>IF(N99="zákl. prenesená",J99,0)</f>
        <v>0</v>
      </c>
      <c r="BH99" s="138">
        <f>IF(N99="zníž. prenesená",J99,0)</f>
        <v>0</v>
      </c>
      <c r="BI99" s="138">
        <f>IF(N99="nulová",J99,0)</f>
        <v>0</v>
      </c>
      <c r="BJ99" s="128" t="s">
        <v>88</v>
      </c>
      <c r="BK99" s="166">
        <f>ROUND(I99*H99,3)</f>
        <v>0</v>
      </c>
      <c r="BL99" s="128" t="s">
        <v>197</v>
      </c>
      <c r="BM99" s="128" t="s">
        <v>283</v>
      </c>
    </row>
    <row r="100" spans="2:65" s="26" customFormat="1" ht="16.5" customHeight="1" x14ac:dyDescent="0.25">
      <c r="B100" s="169"/>
      <c r="C100" s="187" t="s">
        <v>422</v>
      </c>
      <c r="D100" s="187" t="s">
        <v>261</v>
      </c>
      <c r="E100" s="188" t="s">
        <v>284</v>
      </c>
      <c r="F100" s="189" t="s">
        <v>285</v>
      </c>
      <c r="G100" s="190" t="s">
        <v>146</v>
      </c>
      <c r="H100" s="191">
        <f>H99*0.00075</f>
        <v>2.2016249999999999</v>
      </c>
      <c r="I100" s="191"/>
      <c r="J100" s="191">
        <f>ROUND(I100*H100,3)</f>
        <v>0</v>
      </c>
      <c r="K100" s="189" t="s">
        <v>156</v>
      </c>
      <c r="L100" s="199"/>
      <c r="M100" s="200" t="s">
        <v>9</v>
      </c>
      <c r="N100" s="201" t="s">
        <v>27</v>
      </c>
      <c r="O100" s="177">
        <v>0</v>
      </c>
      <c r="P100" s="177">
        <f>O100*H100</f>
        <v>0</v>
      </c>
      <c r="Q100" s="177">
        <v>1</v>
      </c>
      <c r="R100" s="177">
        <f>Q100*H100</f>
        <v>2.2016249999999999</v>
      </c>
      <c r="S100" s="177">
        <v>0</v>
      </c>
      <c r="T100" s="178">
        <f>S100*H100</f>
        <v>0</v>
      </c>
      <c r="AR100" s="128" t="s">
        <v>286</v>
      </c>
      <c r="AT100" s="128" t="s">
        <v>261</v>
      </c>
      <c r="AU100" s="128" t="s">
        <v>88</v>
      </c>
      <c r="AY100" s="128" t="s">
        <v>126</v>
      </c>
      <c r="BE100" s="138">
        <f>IF(N100="základná",J100,0)</f>
        <v>0</v>
      </c>
      <c r="BF100" s="138">
        <f>IF(N100="znížená",J100,0)</f>
        <v>0</v>
      </c>
      <c r="BG100" s="138">
        <f>IF(N100="zákl. prenesená",J100,0)</f>
        <v>0</v>
      </c>
      <c r="BH100" s="138">
        <f>IF(N100="zníž. prenesená",J100,0)</f>
        <v>0</v>
      </c>
      <c r="BI100" s="138">
        <f>IF(N100="nulová",J100,0)</f>
        <v>0</v>
      </c>
      <c r="BJ100" s="128" t="s">
        <v>88</v>
      </c>
      <c r="BK100" s="166">
        <f>ROUND(I100*H100,3)</f>
        <v>0</v>
      </c>
      <c r="BL100" s="128" t="s">
        <v>197</v>
      </c>
      <c r="BM100" s="128" t="s">
        <v>287</v>
      </c>
    </row>
    <row r="101" spans="2:65" s="26" customFormat="1" ht="22.5" customHeight="1" x14ac:dyDescent="0.25">
      <c r="B101" s="169"/>
      <c r="C101" s="170" t="s">
        <v>127</v>
      </c>
      <c r="D101" s="170" t="s">
        <v>129</v>
      </c>
      <c r="E101" s="171" t="s">
        <v>289</v>
      </c>
      <c r="F101" s="172" t="s">
        <v>290</v>
      </c>
      <c r="G101" s="173" t="s">
        <v>136</v>
      </c>
      <c r="H101" s="174">
        <v>499.34</v>
      </c>
      <c r="I101" s="174"/>
      <c r="J101" s="174">
        <f>ROUND(I101*H101,3)</f>
        <v>0</v>
      </c>
      <c r="K101" s="172" t="s">
        <v>156</v>
      </c>
      <c r="L101" s="132"/>
      <c r="M101" s="175" t="s">
        <v>9</v>
      </c>
      <c r="N101" s="176" t="s">
        <v>27</v>
      </c>
      <c r="O101" s="177">
        <v>0.17499999999999999</v>
      </c>
      <c r="P101" s="177">
        <f>O101*H101</f>
        <v>87.384499999999989</v>
      </c>
      <c r="Q101" s="177">
        <v>0</v>
      </c>
      <c r="R101" s="177">
        <f>Q101*H101</f>
        <v>0</v>
      </c>
      <c r="S101" s="177">
        <v>0</v>
      </c>
      <c r="T101" s="178">
        <f>S101*H101</f>
        <v>0</v>
      </c>
      <c r="AR101" s="128" t="s">
        <v>197</v>
      </c>
      <c r="AT101" s="128" t="s">
        <v>129</v>
      </c>
      <c r="AU101" s="128" t="s">
        <v>88</v>
      </c>
      <c r="AY101" s="128" t="s">
        <v>126</v>
      </c>
      <c r="BE101" s="138">
        <f>IF(N101="základná",J101,0)</f>
        <v>0</v>
      </c>
      <c r="BF101" s="138">
        <f>IF(N101="znížená",J101,0)</f>
        <v>0</v>
      </c>
      <c r="BG101" s="138">
        <f>IF(N101="zákl. prenesená",J101,0)</f>
        <v>0</v>
      </c>
      <c r="BH101" s="138">
        <f>IF(N101="zníž. prenesená",J101,0)</f>
        <v>0</v>
      </c>
      <c r="BI101" s="138">
        <f>IF(N101="nulová",J101,0)</f>
        <v>0</v>
      </c>
      <c r="BJ101" s="128" t="s">
        <v>88</v>
      </c>
      <c r="BK101" s="166">
        <f>ROUND(I101*H101,3)</f>
        <v>0</v>
      </c>
      <c r="BL101" s="128" t="s">
        <v>197</v>
      </c>
      <c r="BM101" s="128" t="s">
        <v>291</v>
      </c>
    </row>
    <row r="102" spans="2:65" s="26" customFormat="1" x14ac:dyDescent="0.25">
      <c r="B102" s="132"/>
      <c r="D102" s="179" t="s">
        <v>161</v>
      </c>
      <c r="E102" s="128" t="s">
        <v>9</v>
      </c>
      <c r="F102" s="143" t="s">
        <v>502</v>
      </c>
      <c r="H102" s="166">
        <v>499.34</v>
      </c>
      <c r="L102" s="132"/>
      <c r="M102" s="180"/>
      <c r="T102" s="181"/>
      <c r="AT102" s="128" t="s">
        <v>161</v>
      </c>
      <c r="AU102" s="128" t="s">
        <v>88</v>
      </c>
      <c r="AV102" s="26" t="s">
        <v>88</v>
      </c>
      <c r="AW102" s="26" t="s">
        <v>163</v>
      </c>
      <c r="AX102" s="26" t="s">
        <v>42</v>
      </c>
      <c r="AY102" s="128" t="s">
        <v>126</v>
      </c>
    </row>
    <row r="103" spans="2:65" s="26" customFormat="1" ht="22.5" customHeight="1" x14ac:dyDescent="0.25">
      <c r="B103" s="169"/>
      <c r="C103" s="170" t="s">
        <v>424</v>
      </c>
      <c r="D103" s="170" t="s">
        <v>129</v>
      </c>
      <c r="E103" s="171" t="s">
        <v>293</v>
      </c>
      <c r="F103" s="172" t="s">
        <v>294</v>
      </c>
      <c r="G103" s="173" t="s">
        <v>136</v>
      </c>
      <c r="H103" s="174">
        <v>2402.1</v>
      </c>
      <c r="I103" s="174"/>
      <c r="J103" s="174">
        <f>ROUND(I103*H103,3)</f>
        <v>0</v>
      </c>
      <c r="K103" s="172" t="s">
        <v>156</v>
      </c>
      <c r="L103" s="132"/>
      <c r="M103" s="175" t="s">
        <v>9</v>
      </c>
      <c r="N103" s="176" t="s">
        <v>27</v>
      </c>
      <c r="O103" s="177">
        <v>0.43458000000000002</v>
      </c>
      <c r="P103" s="177">
        <f>O103*H103</f>
        <v>1043.904618</v>
      </c>
      <c r="Q103" s="177">
        <v>9.8999999999999999E-4</v>
      </c>
      <c r="R103" s="177">
        <f>Q103*H103</f>
        <v>2.3780790000000001</v>
      </c>
      <c r="S103" s="177">
        <v>0</v>
      </c>
      <c r="T103" s="178">
        <f>S103*H103</f>
        <v>0</v>
      </c>
      <c r="AR103" s="128" t="s">
        <v>197</v>
      </c>
      <c r="AT103" s="128" t="s">
        <v>129</v>
      </c>
      <c r="AU103" s="128" t="s">
        <v>88</v>
      </c>
      <c r="AY103" s="128" t="s">
        <v>126</v>
      </c>
      <c r="BE103" s="138">
        <f>IF(N103="základná",J103,0)</f>
        <v>0</v>
      </c>
      <c r="BF103" s="138">
        <f>IF(N103="znížená",J103,0)</f>
        <v>0</v>
      </c>
      <c r="BG103" s="138">
        <f>IF(N103="zákl. prenesená",J103,0)</f>
        <v>0</v>
      </c>
      <c r="BH103" s="138">
        <f>IF(N103="zníž. prenesená",J103,0)</f>
        <v>0</v>
      </c>
      <c r="BI103" s="138">
        <f>IF(N103="nulová",J103,0)</f>
        <v>0</v>
      </c>
      <c r="BJ103" s="128" t="s">
        <v>88</v>
      </c>
      <c r="BK103" s="166">
        <f>ROUND(I103*H103,3)</f>
        <v>0</v>
      </c>
      <c r="BL103" s="128" t="s">
        <v>197</v>
      </c>
      <c r="BM103" s="128" t="s">
        <v>295</v>
      </c>
    </row>
    <row r="104" spans="2:65" s="26" customFormat="1" ht="22.5" customHeight="1" x14ac:dyDescent="0.25">
      <c r="B104" s="169"/>
      <c r="C104" s="170" t="s">
        <v>264</v>
      </c>
      <c r="D104" s="170" t="s">
        <v>129</v>
      </c>
      <c r="E104" s="171" t="s">
        <v>296</v>
      </c>
      <c r="F104" s="172" t="s">
        <v>297</v>
      </c>
      <c r="G104" s="173" t="s">
        <v>136</v>
      </c>
      <c r="H104" s="174">
        <v>533.4</v>
      </c>
      <c r="I104" s="174"/>
      <c r="J104" s="174">
        <f>ROUND(I104*H104,3)</f>
        <v>0</v>
      </c>
      <c r="K104" s="172" t="s">
        <v>9</v>
      </c>
      <c r="L104" s="132"/>
      <c r="M104" s="175" t="s">
        <v>9</v>
      </c>
      <c r="N104" s="176" t="s">
        <v>27</v>
      </c>
      <c r="O104" s="177">
        <v>0.435</v>
      </c>
      <c r="P104" s="177">
        <f>O104*H104</f>
        <v>232.029</v>
      </c>
      <c r="Q104" s="177">
        <v>9.8999999999999999E-4</v>
      </c>
      <c r="R104" s="177">
        <f>Q104*H104</f>
        <v>0.52806599999999992</v>
      </c>
      <c r="S104" s="177">
        <v>0</v>
      </c>
      <c r="T104" s="178">
        <f>S104*H104</f>
        <v>0</v>
      </c>
      <c r="AR104" s="128" t="s">
        <v>197</v>
      </c>
      <c r="AT104" s="128" t="s">
        <v>129</v>
      </c>
      <c r="AU104" s="128" t="s">
        <v>88</v>
      </c>
      <c r="AY104" s="128" t="s">
        <v>126</v>
      </c>
      <c r="BE104" s="138">
        <f>IF(N104="základná",J104,0)</f>
        <v>0</v>
      </c>
      <c r="BF104" s="138">
        <f>IF(N104="znížená",J104,0)</f>
        <v>0</v>
      </c>
      <c r="BG104" s="138">
        <f>IF(N104="zákl. prenesená",J104,0)</f>
        <v>0</v>
      </c>
      <c r="BH104" s="138">
        <f>IF(N104="zníž. prenesená",J104,0)</f>
        <v>0</v>
      </c>
      <c r="BI104" s="138">
        <f>IF(N104="nulová",J104,0)</f>
        <v>0</v>
      </c>
      <c r="BJ104" s="128" t="s">
        <v>88</v>
      </c>
      <c r="BK104" s="166">
        <f>ROUND(I104*H104,3)</f>
        <v>0</v>
      </c>
      <c r="BL104" s="128" t="s">
        <v>197</v>
      </c>
      <c r="BM104" s="128" t="s">
        <v>298</v>
      </c>
    </row>
    <row r="105" spans="2:65" s="26" customFormat="1" ht="16.5" customHeight="1" x14ac:dyDescent="0.25">
      <c r="B105" s="169"/>
      <c r="C105" s="187" t="s">
        <v>138</v>
      </c>
      <c r="D105" s="187" t="s">
        <v>261</v>
      </c>
      <c r="E105" s="188" t="s">
        <v>299</v>
      </c>
      <c r="F105" s="189" t="s">
        <v>300</v>
      </c>
      <c r="G105" s="190" t="s">
        <v>136</v>
      </c>
      <c r="H105" s="191">
        <f>H106</f>
        <v>3375.8249999999998</v>
      </c>
      <c r="I105" s="191"/>
      <c r="J105" s="191">
        <f>ROUND(I105*H105,3)</f>
        <v>0</v>
      </c>
      <c r="K105" s="189" t="s">
        <v>156</v>
      </c>
      <c r="L105" s="199"/>
      <c r="M105" s="200" t="s">
        <v>9</v>
      </c>
      <c r="N105" s="201" t="s">
        <v>27</v>
      </c>
      <c r="O105" s="177">
        <v>0</v>
      </c>
      <c r="P105" s="177">
        <f>O105*H105</f>
        <v>0</v>
      </c>
      <c r="Q105" s="177">
        <v>5.0000000000000001E-3</v>
      </c>
      <c r="R105" s="177">
        <f>Q105*H105</f>
        <v>16.879124999999998</v>
      </c>
      <c r="S105" s="177">
        <v>0</v>
      </c>
      <c r="T105" s="178">
        <f>S105*H105</f>
        <v>0</v>
      </c>
      <c r="AR105" s="128" t="s">
        <v>286</v>
      </c>
      <c r="AT105" s="128" t="s">
        <v>261</v>
      </c>
      <c r="AU105" s="128" t="s">
        <v>88</v>
      </c>
      <c r="AY105" s="128" t="s">
        <v>126</v>
      </c>
      <c r="BE105" s="138">
        <f>IF(N105="základná",J105,0)</f>
        <v>0</v>
      </c>
      <c r="BF105" s="138">
        <f>IF(N105="znížená",J105,0)</f>
        <v>0</v>
      </c>
      <c r="BG105" s="138">
        <f>IF(N105="zákl. prenesená",J105,0)</f>
        <v>0</v>
      </c>
      <c r="BH105" s="138">
        <f>IF(N105="zníž. prenesená",J105,0)</f>
        <v>0</v>
      </c>
      <c r="BI105" s="138">
        <f>IF(N105="nulová",J105,0)</f>
        <v>0</v>
      </c>
      <c r="BJ105" s="128" t="s">
        <v>88</v>
      </c>
      <c r="BK105" s="166">
        <f>ROUND(I105*H105,3)</f>
        <v>0</v>
      </c>
      <c r="BL105" s="128" t="s">
        <v>197</v>
      </c>
      <c r="BM105" s="128" t="s">
        <v>301</v>
      </c>
    </row>
    <row r="106" spans="2:65" s="26" customFormat="1" x14ac:dyDescent="0.25">
      <c r="B106" s="132"/>
      <c r="D106" s="179" t="s">
        <v>161</v>
      </c>
      <c r="F106" s="143" t="s">
        <v>503</v>
      </c>
      <c r="H106" s="166">
        <f>(H103+H104)*1.15</f>
        <v>3375.8249999999998</v>
      </c>
      <c r="L106" s="132"/>
      <c r="M106" s="180"/>
      <c r="T106" s="181"/>
      <c r="AT106" s="128" t="s">
        <v>161</v>
      </c>
      <c r="AU106" s="128" t="s">
        <v>88</v>
      </c>
      <c r="AV106" s="26" t="s">
        <v>88</v>
      </c>
      <c r="AW106" s="26" t="s">
        <v>1</v>
      </c>
      <c r="AX106" s="26" t="s">
        <v>42</v>
      </c>
      <c r="AY106" s="128" t="s">
        <v>126</v>
      </c>
    </row>
    <row r="107" spans="2:65" s="26" customFormat="1" ht="16.5" customHeight="1" x14ac:dyDescent="0.25">
      <c r="B107" s="169"/>
      <c r="C107" s="187" t="s">
        <v>427</v>
      </c>
      <c r="D107" s="187" t="s">
        <v>261</v>
      </c>
      <c r="E107" s="188" t="s">
        <v>303</v>
      </c>
      <c r="F107" s="189" t="s">
        <v>304</v>
      </c>
      <c r="G107" s="190" t="s">
        <v>136</v>
      </c>
      <c r="H107" s="191">
        <f>H105</f>
        <v>3375.8249999999998</v>
      </c>
      <c r="I107" s="191"/>
      <c r="J107" s="191">
        <f>ROUND(I107*H107,3)</f>
        <v>0</v>
      </c>
      <c r="K107" s="189" t="s">
        <v>9</v>
      </c>
      <c r="L107" s="199"/>
      <c r="M107" s="200" t="s">
        <v>9</v>
      </c>
      <c r="N107" s="201" t="s">
        <v>27</v>
      </c>
      <c r="O107" s="177">
        <v>0</v>
      </c>
      <c r="P107" s="177">
        <f>O107*H107</f>
        <v>0</v>
      </c>
      <c r="Q107" s="177">
        <v>5.0000000000000001E-3</v>
      </c>
      <c r="R107" s="177">
        <f>Q107*H107</f>
        <v>16.879124999999998</v>
      </c>
      <c r="S107" s="177">
        <v>0</v>
      </c>
      <c r="T107" s="178">
        <f>S107*H107</f>
        <v>0</v>
      </c>
      <c r="AR107" s="128" t="s">
        <v>286</v>
      </c>
      <c r="AT107" s="128" t="s">
        <v>261</v>
      </c>
      <c r="AU107" s="128" t="s">
        <v>88</v>
      </c>
      <c r="AY107" s="128" t="s">
        <v>126</v>
      </c>
      <c r="BE107" s="138">
        <f>IF(N107="základná",J107,0)</f>
        <v>0</v>
      </c>
      <c r="BF107" s="138">
        <f>IF(N107="znížená",J107,0)</f>
        <v>0</v>
      </c>
      <c r="BG107" s="138">
        <f>IF(N107="zákl. prenesená",J107,0)</f>
        <v>0</v>
      </c>
      <c r="BH107" s="138">
        <f>IF(N107="zníž. prenesená",J107,0)</f>
        <v>0</v>
      </c>
      <c r="BI107" s="138">
        <f>IF(N107="nulová",J107,0)</f>
        <v>0</v>
      </c>
      <c r="BJ107" s="128" t="s">
        <v>88</v>
      </c>
      <c r="BK107" s="166">
        <f>ROUND(I107*H107,3)</f>
        <v>0</v>
      </c>
      <c r="BL107" s="128" t="s">
        <v>197</v>
      </c>
      <c r="BM107" s="128" t="s">
        <v>305</v>
      </c>
    </row>
    <row r="108" spans="2:65" s="26" customFormat="1" ht="16.5" customHeight="1" x14ac:dyDescent="0.25">
      <c r="B108" s="169"/>
      <c r="C108" s="170" t="s">
        <v>428</v>
      </c>
      <c r="D108" s="170" t="s">
        <v>129</v>
      </c>
      <c r="E108" s="171" t="s">
        <v>306</v>
      </c>
      <c r="F108" s="172" t="s">
        <v>307</v>
      </c>
      <c r="G108" s="173" t="s">
        <v>234</v>
      </c>
      <c r="H108" s="174">
        <v>499</v>
      </c>
      <c r="I108" s="174"/>
      <c r="J108" s="174">
        <f>ROUND(I108*H108,3)</f>
        <v>0</v>
      </c>
      <c r="K108" s="172" t="s">
        <v>9</v>
      </c>
      <c r="L108" s="132"/>
      <c r="M108" s="175" t="s">
        <v>9</v>
      </c>
      <c r="N108" s="176" t="s">
        <v>27</v>
      </c>
      <c r="O108" s="177">
        <v>0</v>
      </c>
      <c r="P108" s="177">
        <f>O108*H108</f>
        <v>0</v>
      </c>
      <c r="Q108" s="177">
        <v>0</v>
      </c>
      <c r="R108" s="177">
        <f>Q108*H108</f>
        <v>0</v>
      </c>
      <c r="S108" s="177">
        <v>0</v>
      </c>
      <c r="T108" s="178">
        <f>S108*H108</f>
        <v>0</v>
      </c>
      <c r="AR108" s="128" t="s">
        <v>197</v>
      </c>
      <c r="AT108" s="128" t="s">
        <v>129</v>
      </c>
      <c r="AU108" s="128" t="s">
        <v>88</v>
      </c>
      <c r="AY108" s="128" t="s">
        <v>126</v>
      </c>
      <c r="BE108" s="138">
        <f>IF(N108="základná",J108,0)</f>
        <v>0</v>
      </c>
      <c r="BF108" s="138">
        <f>IF(N108="znížená",J108,0)</f>
        <v>0</v>
      </c>
      <c r="BG108" s="138">
        <f>IF(N108="zákl. prenesená",J108,0)</f>
        <v>0</v>
      </c>
      <c r="BH108" s="138">
        <f>IF(N108="zníž. prenesená",J108,0)</f>
        <v>0</v>
      </c>
      <c r="BI108" s="138">
        <f>IF(N108="nulová",J108,0)</f>
        <v>0</v>
      </c>
      <c r="BJ108" s="128" t="s">
        <v>88</v>
      </c>
      <c r="BK108" s="166">
        <f>ROUND(I108*H108,3)</f>
        <v>0</v>
      </c>
      <c r="BL108" s="128" t="s">
        <v>197</v>
      </c>
      <c r="BM108" s="128" t="s">
        <v>308</v>
      </c>
    </row>
    <row r="109" spans="2:65" s="26" customFormat="1" ht="16.5" customHeight="1" x14ac:dyDescent="0.25">
      <c r="B109" s="169"/>
      <c r="C109" s="170" t="s">
        <v>429</v>
      </c>
      <c r="D109" s="170" t="s">
        <v>129</v>
      </c>
      <c r="E109" s="171" t="s">
        <v>316</v>
      </c>
      <c r="F109" s="172" t="s">
        <v>317</v>
      </c>
      <c r="G109" s="173" t="s">
        <v>205</v>
      </c>
      <c r="H109" s="174">
        <v>16</v>
      </c>
      <c r="I109" s="174"/>
      <c r="J109" s="174">
        <f>ROUND(I109*H109,3)</f>
        <v>0</v>
      </c>
      <c r="K109" s="172" t="s">
        <v>9</v>
      </c>
      <c r="L109" s="132"/>
      <c r="M109" s="175" t="s">
        <v>9</v>
      </c>
      <c r="N109" s="176" t="s">
        <v>27</v>
      </c>
      <c r="O109" s="177">
        <v>0.24274000000000001</v>
      </c>
      <c r="P109" s="177">
        <f>O109*H109</f>
        <v>3.8838400000000002</v>
      </c>
      <c r="Q109" s="177">
        <v>2.7599999999999999E-3</v>
      </c>
      <c r="R109" s="177">
        <f>Q109*H109</f>
        <v>4.4159999999999998E-2</v>
      </c>
      <c r="S109" s="177">
        <v>0</v>
      </c>
      <c r="T109" s="178">
        <f>S109*H109</f>
        <v>0</v>
      </c>
      <c r="AR109" s="128" t="s">
        <v>197</v>
      </c>
      <c r="AT109" s="128" t="s">
        <v>129</v>
      </c>
      <c r="AU109" s="128" t="s">
        <v>88</v>
      </c>
      <c r="AY109" s="128" t="s">
        <v>126</v>
      </c>
      <c r="BE109" s="138">
        <f>IF(N109="základná",J109,0)</f>
        <v>0</v>
      </c>
      <c r="BF109" s="138">
        <f>IF(N109="znížená",J109,0)</f>
        <v>0</v>
      </c>
      <c r="BG109" s="138">
        <f>IF(N109="zákl. prenesená",J109,0)</f>
        <v>0</v>
      </c>
      <c r="BH109" s="138">
        <f>IF(N109="zníž. prenesená",J109,0)</f>
        <v>0</v>
      </c>
      <c r="BI109" s="138">
        <f>IF(N109="nulová",J109,0)</f>
        <v>0</v>
      </c>
      <c r="BJ109" s="128" t="s">
        <v>88</v>
      </c>
      <c r="BK109" s="166">
        <f>ROUND(I109*H109,3)</f>
        <v>0</v>
      </c>
      <c r="BL109" s="128" t="s">
        <v>197</v>
      </c>
      <c r="BM109" s="128" t="s">
        <v>318</v>
      </c>
    </row>
    <row r="110" spans="2:65" s="26" customFormat="1" ht="16.5" customHeight="1" x14ac:dyDescent="0.25">
      <c r="B110" s="169"/>
      <c r="C110" s="187" t="s">
        <v>431</v>
      </c>
      <c r="D110" s="187" t="s">
        <v>261</v>
      </c>
      <c r="E110" s="188" t="s">
        <v>319</v>
      </c>
      <c r="F110" s="189" t="s">
        <v>320</v>
      </c>
      <c r="G110" s="190" t="s">
        <v>205</v>
      </c>
      <c r="H110" s="191">
        <v>16</v>
      </c>
      <c r="I110" s="191"/>
      <c r="J110" s="191">
        <f>ROUND(I110*H110,3)</f>
        <v>0</v>
      </c>
      <c r="K110" s="189" t="s">
        <v>9</v>
      </c>
      <c r="L110" s="199"/>
      <c r="M110" s="200" t="s">
        <v>9</v>
      </c>
      <c r="N110" s="201" t="s">
        <v>27</v>
      </c>
      <c r="O110" s="177">
        <v>0</v>
      </c>
      <c r="P110" s="177">
        <f>O110*H110</f>
        <v>0</v>
      </c>
      <c r="Q110" s="177">
        <v>8.4999999999999995E-4</v>
      </c>
      <c r="R110" s="177">
        <f>Q110*H110</f>
        <v>1.3599999999999999E-2</v>
      </c>
      <c r="S110" s="177">
        <v>0</v>
      </c>
      <c r="T110" s="178">
        <f>S110*H110</f>
        <v>0</v>
      </c>
      <c r="AR110" s="128" t="s">
        <v>286</v>
      </c>
      <c r="AT110" s="128" t="s">
        <v>261</v>
      </c>
      <c r="AU110" s="128" t="s">
        <v>88</v>
      </c>
      <c r="AY110" s="128" t="s">
        <v>126</v>
      </c>
      <c r="BE110" s="138">
        <f>IF(N110="základná",J110,0)</f>
        <v>0</v>
      </c>
      <c r="BF110" s="138">
        <f>IF(N110="znížená",J110,0)</f>
        <v>0</v>
      </c>
      <c r="BG110" s="138">
        <f>IF(N110="zákl. prenesená",J110,0)</f>
        <v>0</v>
      </c>
      <c r="BH110" s="138">
        <f>IF(N110="zníž. prenesená",J110,0)</f>
        <v>0</v>
      </c>
      <c r="BI110" s="138">
        <f>IF(N110="nulová",J110,0)</f>
        <v>0</v>
      </c>
      <c r="BJ110" s="128" t="s">
        <v>88</v>
      </c>
      <c r="BK110" s="166">
        <f>ROUND(I110*H110,3)</f>
        <v>0</v>
      </c>
      <c r="BL110" s="128" t="s">
        <v>197</v>
      </c>
      <c r="BM110" s="128" t="s">
        <v>321</v>
      </c>
    </row>
    <row r="111" spans="2:65" s="26" customFormat="1" ht="16.5" customHeight="1" x14ac:dyDescent="0.25">
      <c r="B111" s="169"/>
      <c r="C111" s="170" t="s">
        <v>432</v>
      </c>
      <c r="D111" s="170" t="s">
        <v>129</v>
      </c>
      <c r="E111" s="171" t="s">
        <v>322</v>
      </c>
      <c r="F111" s="172" t="s">
        <v>323</v>
      </c>
      <c r="G111" s="173" t="s">
        <v>324</v>
      </c>
      <c r="H111" s="174">
        <f>SUM(J99:J110)/100*1.3</f>
        <v>0</v>
      </c>
      <c r="I111" s="174"/>
      <c r="J111" s="174">
        <f>ROUND(I111*H111,3)</f>
        <v>0</v>
      </c>
      <c r="K111" s="172" t="s">
        <v>156</v>
      </c>
      <c r="L111" s="132"/>
      <c r="M111" s="175" t="s">
        <v>9</v>
      </c>
      <c r="N111" s="176" t="s">
        <v>27</v>
      </c>
      <c r="O111" s="177">
        <v>0</v>
      </c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128" t="s">
        <v>197</v>
      </c>
      <c r="AT111" s="128" t="s">
        <v>129</v>
      </c>
      <c r="AU111" s="128" t="s">
        <v>88</v>
      </c>
      <c r="AY111" s="128" t="s">
        <v>126</v>
      </c>
      <c r="BE111" s="138">
        <f>IF(N111="základná",J111,0)</f>
        <v>0</v>
      </c>
      <c r="BF111" s="138">
        <f>IF(N111="znížená",J111,0)</f>
        <v>0</v>
      </c>
      <c r="BG111" s="138">
        <f>IF(N111="zákl. prenesená",J111,0)</f>
        <v>0</v>
      </c>
      <c r="BH111" s="138">
        <f>IF(N111="zníž. prenesená",J111,0)</f>
        <v>0</v>
      </c>
      <c r="BI111" s="138">
        <f>IF(N111="nulová",J111,0)</f>
        <v>0</v>
      </c>
      <c r="BJ111" s="128" t="s">
        <v>88</v>
      </c>
      <c r="BK111" s="166">
        <f>ROUND(I111*H111,3)</f>
        <v>0</v>
      </c>
      <c r="BL111" s="128" t="s">
        <v>197</v>
      </c>
      <c r="BM111" s="128" t="s">
        <v>325</v>
      </c>
    </row>
    <row r="112" spans="2:65" s="158" customFormat="1" ht="22.9" customHeight="1" x14ac:dyDescent="0.2">
      <c r="B112" s="157"/>
      <c r="D112" s="159" t="s">
        <v>123</v>
      </c>
      <c r="E112" s="167" t="s">
        <v>326</v>
      </c>
      <c r="F112" s="167" t="s">
        <v>327</v>
      </c>
      <c r="J112" s="168">
        <f>SUM(J113:J115)</f>
        <v>0</v>
      </c>
      <c r="L112" s="157"/>
      <c r="M112" s="162"/>
      <c r="P112" s="163">
        <f>SUM(P113:P115)</f>
        <v>382.452</v>
      </c>
      <c r="R112" s="163">
        <f>SUM(R113:R115)</f>
        <v>5.8089018750000001</v>
      </c>
      <c r="T112" s="164">
        <f>SUM(T113:T115)</f>
        <v>0</v>
      </c>
      <c r="AR112" s="159" t="s">
        <v>88</v>
      </c>
      <c r="AT112" s="165" t="s">
        <v>123</v>
      </c>
      <c r="AU112" s="165" t="s">
        <v>42</v>
      </c>
      <c r="AY112" s="159" t="s">
        <v>126</v>
      </c>
      <c r="BK112" s="166">
        <f>SUM(BK113:BK115)</f>
        <v>0</v>
      </c>
    </row>
    <row r="113" spans="2:65" s="26" customFormat="1" ht="16.5" customHeight="1" x14ac:dyDescent="0.25">
      <c r="B113" s="169"/>
      <c r="C113" s="170" t="s">
        <v>433</v>
      </c>
      <c r="D113" s="170" t="s">
        <v>129</v>
      </c>
      <c r="E113" s="171" t="s">
        <v>328</v>
      </c>
      <c r="F113" s="172" t="s">
        <v>329</v>
      </c>
      <c r="G113" s="173" t="s">
        <v>136</v>
      </c>
      <c r="H113" s="174">
        <v>824.25</v>
      </c>
      <c r="I113" s="174"/>
      <c r="J113" s="174">
        <f>ROUND(I113*H113,3)</f>
        <v>0</v>
      </c>
      <c r="K113" s="172" t="s">
        <v>156</v>
      </c>
      <c r="L113" s="132"/>
      <c r="M113" s="175" t="s">
        <v>9</v>
      </c>
      <c r="N113" s="176" t="s">
        <v>27</v>
      </c>
      <c r="O113" s="177">
        <v>0.46400000000000002</v>
      </c>
      <c r="P113" s="177">
        <f>O113*H113</f>
        <v>382.452</v>
      </c>
      <c r="Q113" s="177">
        <v>4.0000000000000001E-3</v>
      </c>
      <c r="R113" s="177">
        <f>Q113*H113</f>
        <v>3.2970000000000002</v>
      </c>
      <c r="S113" s="177">
        <v>0</v>
      </c>
      <c r="T113" s="178">
        <f>S113*H113</f>
        <v>0</v>
      </c>
      <c r="AR113" s="128" t="s">
        <v>197</v>
      </c>
      <c r="AT113" s="128" t="s">
        <v>129</v>
      </c>
      <c r="AU113" s="128" t="s">
        <v>88</v>
      </c>
      <c r="AY113" s="128" t="s">
        <v>126</v>
      </c>
      <c r="BE113" s="138">
        <f>IF(N113="základná",J113,0)</f>
        <v>0</v>
      </c>
      <c r="BF113" s="138">
        <f>IF(N113="znížená",J113,0)</f>
        <v>0</v>
      </c>
      <c r="BG113" s="138">
        <f>IF(N113="zákl. prenesená",J113,0)</f>
        <v>0</v>
      </c>
      <c r="BH113" s="138">
        <f>IF(N113="zníž. prenesená",J113,0)</f>
        <v>0</v>
      </c>
      <c r="BI113" s="138">
        <f>IF(N113="nulová",J113,0)</f>
        <v>0</v>
      </c>
      <c r="BJ113" s="128" t="s">
        <v>88</v>
      </c>
      <c r="BK113" s="166">
        <f>ROUND(I113*H113,3)</f>
        <v>0</v>
      </c>
      <c r="BL113" s="128" t="s">
        <v>197</v>
      </c>
      <c r="BM113" s="128" t="s">
        <v>330</v>
      </c>
    </row>
    <row r="114" spans="2:65" s="26" customFormat="1" ht="16.5" customHeight="1" x14ac:dyDescent="0.25">
      <c r="B114" s="169"/>
      <c r="C114" s="187" t="s">
        <v>197</v>
      </c>
      <c r="D114" s="187" t="s">
        <v>261</v>
      </c>
      <c r="E114" s="188" t="s">
        <v>331</v>
      </c>
      <c r="F114" s="189" t="s">
        <v>332</v>
      </c>
      <c r="G114" s="190" t="s">
        <v>136</v>
      </c>
      <c r="H114" s="191">
        <f>H113*1.15</f>
        <v>947.88749999999993</v>
      </c>
      <c r="I114" s="191"/>
      <c r="J114" s="191">
        <f>ROUND(I114*H114,3)</f>
        <v>0</v>
      </c>
      <c r="K114" s="189" t="s">
        <v>156</v>
      </c>
      <c r="L114" s="199"/>
      <c r="M114" s="200" t="s">
        <v>9</v>
      </c>
      <c r="N114" s="201" t="s">
        <v>27</v>
      </c>
      <c r="O114" s="177">
        <v>0</v>
      </c>
      <c r="P114" s="177">
        <f>O114*H114</f>
        <v>0</v>
      </c>
      <c r="Q114" s="177">
        <v>2.65E-3</v>
      </c>
      <c r="R114" s="177">
        <f>Q114*H114</f>
        <v>2.511901875</v>
      </c>
      <c r="S114" s="177">
        <v>0</v>
      </c>
      <c r="T114" s="178">
        <f>S114*H114</f>
        <v>0</v>
      </c>
      <c r="AR114" s="128" t="s">
        <v>286</v>
      </c>
      <c r="AT114" s="128" t="s">
        <v>261</v>
      </c>
      <c r="AU114" s="128" t="s">
        <v>88</v>
      </c>
      <c r="AY114" s="128" t="s">
        <v>126</v>
      </c>
      <c r="BE114" s="138">
        <f>IF(N114="základná",J114,0)</f>
        <v>0</v>
      </c>
      <c r="BF114" s="138">
        <f>IF(N114="znížená",J114,0)</f>
        <v>0</v>
      </c>
      <c r="BG114" s="138">
        <f>IF(N114="zákl. prenesená",J114,0)</f>
        <v>0</v>
      </c>
      <c r="BH114" s="138">
        <f>IF(N114="zníž. prenesená",J114,0)</f>
        <v>0</v>
      </c>
      <c r="BI114" s="138">
        <f>IF(N114="nulová",J114,0)</f>
        <v>0</v>
      </c>
      <c r="BJ114" s="128" t="s">
        <v>88</v>
      </c>
      <c r="BK114" s="166">
        <f>ROUND(I114*H114,3)</f>
        <v>0</v>
      </c>
      <c r="BL114" s="128" t="s">
        <v>197</v>
      </c>
      <c r="BM114" s="128" t="s">
        <v>333</v>
      </c>
    </row>
    <row r="115" spans="2:65" s="26" customFormat="1" ht="16.5" customHeight="1" x14ac:dyDescent="0.25">
      <c r="B115" s="169"/>
      <c r="C115" s="170" t="s">
        <v>434</v>
      </c>
      <c r="D115" s="170" t="s">
        <v>129</v>
      </c>
      <c r="E115" s="171" t="s">
        <v>338</v>
      </c>
      <c r="F115" s="172" t="s">
        <v>339</v>
      </c>
      <c r="G115" s="173" t="s">
        <v>324</v>
      </c>
      <c r="H115" s="174">
        <f>SUM(J113:J114)/100*1.3</f>
        <v>0</v>
      </c>
      <c r="I115" s="174"/>
      <c r="J115" s="174">
        <f>ROUND(I115*H115,3)</f>
        <v>0</v>
      </c>
      <c r="K115" s="172" t="s">
        <v>156</v>
      </c>
      <c r="L115" s="132"/>
      <c r="M115" s="175" t="s">
        <v>9</v>
      </c>
      <c r="N115" s="176" t="s">
        <v>27</v>
      </c>
      <c r="O115" s="177">
        <v>0</v>
      </c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28" t="s">
        <v>197</v>
      </c>
      <c r="AT115" s="128" t="s">
        <v>129</v>
      </c>
      <c r="AU115" s="128" t="s">
        <v>88</v>
      </c>
      <c r="AY115" s="128" t="s">
        <v>126</v>
      </c>
      <c r="BE115" s="138">
        <f>IF(N115="základná",J115,0)</f>
        <v>0</v>
      </c>
      <c r="BF115" s="138">
        <f>IF(N115="znížená",J115,0)</f>
        <v>0</v>
      </c>
      <c r="BG115" s="138">
        <f>IF(N115="zákl. prenesená",J115,0)</f>
        <v>0</v>
      </c>
      <c r="BH115" s="138">
        <f>IF(N115="zníž. prenesená",J115,0)</f>
        <v>0</v>
      </c>
      <c r="BI115" s="138">
        <f>IF(N115="nulová",J115,0)</f>
        <v>0</v>
      </c>
      <c r="BJ115" s="128" t="s">
        <v>88</v>
      </c>
      <c r="BK115" s="166">
        <f>ROUND(I115*H115,3)</f>
        <v>0</v>
      </c>
      <c r="BL115" s="128" t="s">
        <v>197</v>
      </c>
      <c r="BM115" s="128" t="s">
        <v>340</v>
      </c>
    </row>
    <row r="116" spans="2:65" s="158" customFormat="1" ht="22.9" customHeight="1" x14ac:dyDescent="0.2">
      <c r="B116" s="157"/>
      <c r="D116" s="159" t="s">
        <v>123</v>
      </c>
      <c r="E116" s="167" t="s">
        <v>223</v>
      </c>
      <c r="F116" s="167" t="s">
        <v>224</v>
      </c>
      <c r="J116" s="168">
        <f>SUM(J117:J133)</f>
        <v>0</v>
      </c>
      <c r="L116" s="157"/>
      <c r="M116" s="162"/>
      <c r="P116" s="163">
        <f>SUM(P117:P133)</f>
        <v>888.56251999999995</v>
      </c>
      <c r="R116" s="163">
        <f>SUM(R117:R133)</f>
        <v>1.957131</v>
      </c>
      <c r="T116" s="164">
        <f>SUM(T117:T133)</f>
        <v>0</v>
      </c>
      <c r="AR116" s="159" t="s">
        <v>88</v>
      </c>
      <c r="AT116" s="165" t="s">
        <v>123</v>
      </c>
      <c r="AU116" s="165" t="s">
        <v>42</v>
      </c>
      <c r="AY116" s="159" t="s">
        <v>126</v>
      </c>
      <c r="BK116" s="166">
        <f>SUM(BK117:BK133)</f>
        <v>0</v>
      </c>
    </row>
    <row r="117" spans="2:65" s="26" customFormat="1" ht="16.5" customHeight="1" x14ac:dyDescent="0.25">
      <c r="B117" s="169"/>
      <c r="C117" s="170" t="s">
        <v>435</v>
      </c>
      <c r="D117" s="170" t="s">
        <v>129</v>
      </c>
      <c r="E117" s="171" t="s">
        <v>341</v>
      </c>
      <c r="F117" s="172" t="s">
        <v>342</v>
      </c>
      <c r="G117" s="173" t="s">
        <v>230</v>
      </c>
      <c r="H117" s="174">
        <v>207.9</v>
      </c>
      <c r="I117" s="174"/>
      <c r="J117" s="174">
        <f>ROUND(I117*H117,3)</f>
        <v>0</v>
      </c>
      <c r="K117" s="172" t="s">
        <v>156</v>
      </c>
      <c r="L117" s="132"/>
      <c r="M117" s="175" t="s">
        <v>9</v>
      </c>
      <c r="N117" s="176" t="s">
        <v>27</v>
      </c>
      <c r="O117" s="177">
        <v>0.44500000000000001</v>
      </c>
      <c r="P117" s="177">
        <f>O117*H117</f>
        <v>92.515500000000003</v>
      </c>
      <c r="Q117" s="177">
        <v>2.0899999999999998E-3</v>
      </c>
      <c r="R117" s="177">
        <f>Q117*H117</f>
        <v>0.43451099999999998</v>
      </c>
      <c r="S117" s="177">
        <v>0</v>
      </c>
      <c r="T117" s="178">
        <f>S117*H117</f>
        <v>0</v>
      </c>
      <c r="AR117" s="128" t="s">
        <v>197</v>
      </c>
      <c r="AT117" s="128" t="s">
        <v>129</v>
      </c>
      <c r="AU117" s="128" t="s">
        <v>88</v>
      </c>
      <c r="AY117" s="128" t="s">
        <v>126</v>
      </c>
      <c r="BE117" s="138">
        <f>IF(N117="základná",J117,0)</f>
        <v>0</v>
      </c>
      <c r="BF117" s="138">
        <f>IF(N117="znížená",J117,0)</f>
        <v>0</v>
      </c>
      <c r="BG117" s="138">
        <f>IF(N117="zákl. prenesená",J117,0)</f>
        <v>0</v>
      </c>
      <c r="BH117" s="138">
        <f>IF(N117="zníž. prenesená",J117,0)</f>
        <v>0</v>
      </c>
      <c r="BI117" s="138">
        <f>IF(N117="nulová",J117,0)</f>
        <v>0</v>
      </c>
      <c r="BJ117" s="128" t="s">
        <v>88</v>
      </c>
      <c r="BK117" s="166">
        <f>ROUND(I117*H117,3)</f>
        <v>0</v>
      </c>
      <c r="BL117" s="128" t="s">
        <v>197</v>
      </c>
      <c r="BM117" s="128" t="s">
        <v>343</v>
      </c>
    </row>
    <row r="118" spans="2:65" s="26" customFormat="1" ht="16.5" customHeight="1" x14ac:dyDescent="0.25">
      <c r="B118" s="169"/>
      <c r="C118" s="170" t="s">
        <v>436</v>
      </c>
      <c r="D118" s="170" t="s">
        <v>129</v>
      </c>
      <c r="E118" s="171" t="s">
        <v>344</v>
      </c>
      <c r="F118" s="172" t="s">
        <v>476</v>
      </c>
      <c r="G118" s="173" t="s">
        <v>205</v>
      </c>
      <c r="H118" s="174">
        <v>175</v>
      </c>
      <c r="I118" s="174"/>
      <c r="J118" s="174">
        <f>ROUND(I118*H118,3)</f>
        <v>0</v>
      </c>
      <c r="K118" s="172" t="s">
        <v>9</v>
      </c>
      <c r="L118" s="132"/>
      <c r="M118" s="175" t="s">
        <v>9</v>
      </c>
      <c r="N118" s="176" t="s">
        <v>27</v>
      </c>
      <c r="O118" s="177">
        <v>1.38822</v>
      </c>
      <c r="P118" s="177">
        <f>O118*H118</f>
        <v>242.9385</v>
      </c>
      <c r="Q118" s="177">
        <v>8.0000000000000004E-4</v>
      </c>
      <c r="R118" s="177">
        <f>Q118*H118</f>
        <v>0.14000000000000001</v>
      </c>
      <c r="S118" s="177">
        <v>0</v>
      </c>
      <c r="T118" s="178">
        <f>S118*H118</f>
        <v>0</v>
      </c>
      <c r="AR118" s="128" t="s">
        <v>197</v>
      </c>
      <c r="AT118" s="128" t="s">
        <v>129</v>
      </c>
      <c r="AU118" s="128" t="s">
        <v>88</v>
      </c>
      <c r="AY118" s="128" t="s">
        <v>126</v>
      </c>
      <c r="BE118" s="138">
        <f>IF(N118="základná",J118,0)</f>
        <v>0</v>
      </c>
      <c r="BF118" s="138">
        <f>IF(N118="znížená",J118,0)</f>
        <v>0</v>
      </c>
      <c r="BG118" s="138">
        <f>IF(N118="zákl. prenesená",J118,0)</f>
        <v>0</v>
      </c>
      <c r="BH118" s="138">
        <f>IF(N118="zníž. prenesená",J118,0)</f>
        <v>0</v>
      </c>
      <c r="BI118" s="138">
        <f>IF(N118="nulová",J118,0)</f>
        <v>0</v>
      </c>
      <c r="BJ118" s="128" t="s">
        <v>88</v>
      </c>
      <c r="BK118" s="166">
        <f>ROUND(I118*H118,3)</f>
        <v>0</v>
      </c>
      <c r="BL118" s="128" t="s">
        <v>197</v>
      </c>
      <c r="BM118" s="128" t="s">
        <v>346</v>
      </c>
    </row>
    <row r="119" spans="2:65" s="26" customFormat="1" ht="16.5" customHeight="1" x14ac:dyDescent="0.25">
      <c r="B119" s="169"/>
      <c r="C119" s="170" t="s">
        <v>3</v>
      </c>
      <c r="D119" s="170" t="s">
        <v>129</v>
      </c>
      <c r="E119" s="171" t="s">
        <v>504</v>
      </c>
      <c r="F119" s="172" t="s">
        <v>505</v>
      </c>
      <c r="G119" s="173" t="s">
        <v>230</v>
      </c>
      <c r="H119" s="174">
        <v>78</v>
      </c>
      <c r="I119" s="174"/>
      <c r="J119" s="174">
        <f>ROUND(I119*H119,3)</f>
        <v>0</v>
      </c>
      <c r="K119" s="172" t="s">
        <v>156</v>
      </c>
      <c r="L119" s="132"/>
      <c r="M119" s="175" t="s">
        <v>9</v>
      </c>
      <c r="N119" s="176" t="s">
        <v>27</v>
      </c>
      <c r="O119" s="177">
        <v>0.89554</v>
      </c>
      <c r="P119" s="177">
        <f>O119*H119</f>
        <v>69.852119999999999</v>
      </c>
      <c r="Q119" s="177">
        <v>2.4499999999999999E-3</v>
      </c>
      <c r="R119" s="177">
        <f>Q119*H119</f>
        <v>0.19109999999999999</v>
      </c>
      <c r="S119" s="177">
        <v>0</v>
      </c>
      <c r="T119" s="178">
        <f>S119*H119</f>
        <v>0</v>
      </c>
      <c r="AR119" s="128" t="s">
        <v>197</v>
      </c>
      <c r="AT119" s="128" t="s">
        <v>129</v>
      </c>
      <c r="AU119" s="128" t="s">
        <v>88</v>
      </c>
      <c r="AY119" s="128" t="s">
        <v>126</v>
      </c>
      <c r="BE119" s="138">
        <f>IF(N119="základná",J119,0)</f>
        <v>0</v>
      </c>
      <c r="BF119" s="138">
        <f>IF(N119="znížená",J119,0)</f>
        <v>0</v>
      </c>
      <c r="BG119" s="138">
        <f>IF(N119="zákl. prenesená",J119,0)</f>
        <v>0</v>
      </c>
      <c r="BH119" s="138">
        <f>IF(N119="zníž. prenesená",J119,0)</f>
        <v>0</v>
      </c>
      <c r="BI119" s="138">
        <f>IF(N119="nulová",J119,0)</f>
        <v>0</v>
      </c>
      <c r="BJ119" s="128" t="s">
        <v>88</v>
      </c>
      <c r="BK119" s="166">
        <f>ROUND(I119*H119,3)</f>
        <v>0</v>
      </c>
      <c r="BL119" s="128" t="s">
        <v>197</v>
      </c>
      <c r="BM119" s="128" t="s">
        <v>506</v>
      </c>
    </row>
    <row r="120" spans="2:65" s="26" customFormat="1" ht="16.5" customHeight="1" x14ac:dyDescent="0.25">
      <c r="B120" s="169"/>
      <c r="C120" s="170" t="s">
        <v>437</v>
      </c>
      <c r="D120" s="170" t="s">
        <v>129</v>
      </c>
      <c r="E120" s="171" t="s">
        <v>477</v>
      </c>
      <c r="F120" s="172" t="s">
        <v>478</v>
      </c>
      <c r="G120" s="173" t="s">
        <v>230</v>
      </c>
      <c r="H120" s="174">
        <f>H124</f>
        <v>232.10000000000002</v>
      </c>
      <c r="I120" s="174"/>
      <c r="J120" s="174">
        <f>ROUND(I120*H120,3)</f>
        <v>0</v>
      </c>
      <c r="K120" s="172" t="s">
        <v>9</v>
      </c>
      <c r="L120" s="132"/>
      <c r="M120" s="175" t="s">
        <v>9</v>
      </c>
      <c r="N120" s="176" t="s">
        <v>27</v>
      </c>
      <c r="O120" s="177">
        <v>1.1739999999999999</v>
      </c>
      <c r="P120" s="177">
        <f>O120*H120</f>
        <v>272.48540000000003</v>
      </c>
      <c r="Q120" s="177">
        <v>2.3000000000000001E-4</v>
      </c>
      <c r="R120" s="177">
        <f>Q120*H120</f>
        <v>5.3383000000000007E-2</v>
      </c>
      <c r="S120" s="177">
        <v>0</v>
      </c>
      <c r="T120" s="178">
        <f>S120*H120</f>
        <v>0</v>
      </c>
      <c r="AR120" s="128" t="s">
        <v>197</v>
      </c>
      <c r="AT120" s="128" t="s">
        <v>129</v>
      </c>
      <c r="AU120" s="128" t="s">
        <v>88</v>
      </c>
      <c r="AY120" s="128" t="s">
        <v>126</v>
      </c>
      <c r="BE120" s="138">
        <f>IF(N120="základná",J120,0)</f>
        <v>0</v>
      </c>
      <c r="BF120" s="138">
        <f>IF(N120="znížená",J120,0)</f>
        <v>0</v>
      </c>
      <c r="BG120" s="138">
        <f>IF(N120="zákl. prenesená",J120,0)</f>
        <v>0</v>
      </c>
      <c r="BH120" s="138">
        <f>IF(N120="zníž. prenesená",J120,0)</f>
        <v>0</v>
      </c>
      <c r="BI120" s="138">
        <f>IF(N120="nulová",J120,0)</f>
        <v>0</v>
      </c>
      <c r="BJ120" s="128" t="s">
        <v>88</v>
      </c>
      <c r="BK120" s="166">
        <f>ROUND(I120*H120,3)</f>
        <v>0</v>
      </c>
      <c r="BL120" s="128" t="s">
        <v>197</v>
      </c>
      <c r="BM120" s="128" t="s">
        <v>507</v>
      </c>
    </row>
    <row r="121" spans="2:65" s="26" customFormat="1" x14ac:dyDescent="0.25">
      <c r="B121" s="132"/>
      <c r="D121" s="179" t="s">
        <v>161</v>
      </c>
      <c r="E121" s="128" t="s">
        <v>9</v>
      </c>
      <c r="F121" s="143" t="s">
        <v>508</v>
      </c>
      <c r="H121" s="166">
        <f>80*1.1</f>
        <v>88</v>
      </c>
      <c r="L121" s="132"/>
      <c r="M121" s="180"/>
      <c r="T121" s="181"/>
      <c r="AT121" s="128" t="s">
        <v>161</v>
      </c>
      <c r="AU121" s="128" t="s">
        <v>88</v>
      </c>
      <c r="AV121" s="26" t="s">
        <v>88</v>
      </c>
      <c r="AW121" s="26" t="s">
        <v>163</v>
      </c>
      <c r="AX121" s="26" t="s">
        <v>39</v>
      </c>
      <c r="AY121" s="128" t="s">
        <v>126</v>
      </c>
    </row>
    <row r="122" spans="2:65" s="26" customFormat="1" x14ac:dyDescent="0.25">
      <c r="B122" s="132"/>
      <c r="D122" s="179" t="s">
        <v>161</v>
      </c>
      <c r="E122" s="128" t="s">
        <v>9</v>
      </c>
      <c r="F122" s="143" t="s">
        <v>509</v>
      </c>
      <c r="H122" s="166">
        <f>64*1.1</f>
        <v>70.400000000000006</v>
      </c>
      <c r="L122" s="132"/>
      <c r="M122" s="180"/>
      <c r="T122" s="181"/>
      <c r="AT122" s="128" t="s">
        <v>161</v>
      </c>
      <c r="AU122" s="128" t="s">
        <v>88</v>
      </c>
      <c r="AV122" s="26" t="s">
        <v>88</v>
      </c>
      <c r="AW122" s="26" t="s">
        <v>163</v>
      </c>
      <c r="AX122" s="26" t="s">
        <v>39</v>
      </c>
      <c r="AY122" s="128" t="s">
        <v>126</v>
      </c>
    </row>
    <row r="123" spans="2:65" s="26" customFormat="1" x14ac:dyDescent="0.25">
      <c r="B123" s="132"/>
      <c r="D123" s="179" t="s">
        <v>161</v>
      </c>
      <c r="E123" s="128" t="s">
        <v>9</v>
      </c>
      <c r="F123" s="143" t="s">
        <v>510</v>
      </c>
      <c r="H123" s="166">
        <f>67*1.1</f>
        <v>73.7</v>
      </c>
      <c r="L123" s="132"/>
      <c r="M123" s="180"/>
      <c r="T123" s="181"/>
      <c r="AT123" s="128" t="s">
        <v>161</v>
      </c>
      <c r="AU123" s="128" t="s">
        <v>88</v>
      </c>
      <c r="AV123" s="26" t="s">
        <v>88</v>
      </c>
      <c r="AW123" s="26" t="s">
        <v>163</v>
      </c>
      <c r="AX123" s="26" t="s">
        <v>39</v>
      </c>
      <c r="AY123" s="128" t="s">
        <v>126</v>
      </c>
    </row>
    <row r="124" spans="2:65" s="26" customFormat="1" x14ac:dyDescent="0.25">
      <c r="B124" s="132"/>
      <c r="D124" s="179" t="s">
        <v>161</v>
      </c>
      <c r="E124" s="128" t="s">
        <v>9</v>
      </c>
      <c r="F124" s="143" t="s">
        <v>218</v>
      </c>
      <c r="H124" s="166">
        <f>SUM(H121:H123)</f>
        <v>232.10000000000002</v>
      </c>
      <c r="L124" s="132"/>
      <c r="M124" s="180"/>
      <c r="T124" s="181"/>
      <c r="AT124" s="128" t="s">
        <v>161</v>
      </c>
      <c r="AU124" s="128" t="s">
        <v>88</v>
      </c>
      <c r="AV124" s="26" t="s">
        <v>132</v>
      </c>
      <c r="AW124" s="26" t="s">
        <v>163</v>
      </c>
      <c r="AX124" s="26" t="s">
        <v>42</v>
      </c>
      <c r="AY124" s="128" t="s">
        <v>126</v>
      </c>
    </row>
    <row r="125" spans="2:65" s="26" customFormat="1" ht="16.5" customHeight="1" x14ac:dyDescent="0.25">
      <c r="B125" s="169"/>
      <c r="C125" s="170" t="s">
        <v>438</v>
      </c>
      <c r="D125" s="170" t="s">
        <v>129</v>
      </c>
      <c r="E125" s="171" t="s">
        <v>351</v>
      </c>
      <c r="F125" s="172" t="s">
        <v>352</v>
      </c>
      <c r="G125" s="173" t="s">
        <v>230</v>
      </c>
      <c r="H125" s="174">
        <f>63*1.1</f>
        <v>69.300000000000011</v>
      </c>
      <c r="I125" s="174"/>
      <c r="J125" s="174">
        <f>ROUND(I125*H125,3)</f>
        <v>0</v>
      </c>
      <c r="K125" s="172" t="s">
        <v>156</v>
      </c>
      <c r="L125" s="132"/>
      <c r="M125" s="175" t="s">
        <v>9</v>
      </c>
      <c r="N125" s="176" t="s">
        <v>27</v>
      </c>
      <c r="O125" s="177">
        <v>0.83</v>
      </c>
      <c r="P125" s="177">
        <f>O125*H125</f>
        <v>57.519000000000005</v>
      </c>
      <c r="Q125" s="177">
        <v>4.2900000000000004E-3</v>
      </c>
      <c r="R125" s="177">
        <f>Q125*H125</f>
        <v>0.29729700000000009</v>
      </c>
      <c r="S125" s="177">
        <v>0</v>
      </c>
      <c r="T125" s="178">
        <f>S125*H125</f>
        <v>0</v>
      </c>
      <c r="AR125" s="128" t="s">
        <v>197</v>
      </c>
      <c r="AT125" s="128" t="s">
        <v>129</v>
      </c>
      <c r="AU125" s="128" t="s">
        <v>88</v>
      </c>
      <c r="AY125" s="128" t="s">
        <v>126</v>
      </c>
      <c r="BE125" s="138">
        <f>IF(N125="základná",J125,0)</f>
        <v>0</v>
      </c>
      <c r="BF125" s="138">
        <f>IF(N125="znížená",J125,0)</f>
        <v>0</v>
      </c>
      <c r="BG125" s="138">
        <f>IF(N125="zákl. prenesená",J125,0)</f>
        <v>0</v>
      </c>
      <c r="BH125" s="138">
        <f>IF(N125="zníž. prenesená",J125,0)</f>
        <v>0</v>
      </c>
      <c r="BI125" s="138">
        <f>IF(N125="nulová",J125,0)</f>
        <v>0</v>
      </c>
      <c r="BJ125" s="128" t="s">
        <v>88</v>
      </c>
      <c r="BK125" s="166">
        <f>ROUND(I125*H125,3)</f>
        <v>0</v>
      </c>
      <c r="BL125" s="128" t="s">
        <v>197</v>
      </c>
      <c r="BM125" s="128" t="s">
        <v>511</v>
      </c>
    </row>
    <row r="126" spans="2:65" s="26" customFormat="1" x14ac:dyDescent="0.25">
      <c r="B126" s="132"/>
      <c r="D126" s="179" t="s">
        <v>161</v>
      </c>
      <c r="E126" s="128" t="s">
        <v>9</v>
      </c>
      <c r="F126" s="143" t="s">
        <v>512</v>
      </c>
      <c r="H126" s="166"/>
      <c r="L126" s="132"/>
      <c r="M126" s="180"/>
      <c r="T126" s="181"/>
      <c r="AT126" s="128" t="s">
        <v>161</v>
      </c>
      <c r="AU126" s="128" t="s">
        <v>88</v>
      </c>
      <c r="AV126" s="26" t="s">
        <v>88</v>
      </c>
      <c r="AW126" s="26" t="s">
        <v>163</v>
      </c>
      <c r="AX126" s="26" t="s">
        <v>42</v>
      </c>
      <c r="AY126" s="128" t="s">
        <v>126</v>
      </c>
    </row>
    <row r="127" spans="2:65" s="26" customFormat="1" ht="16.5" customHeight="1" x14ac:dyDescent="0.25">
      <c r="B127" s="169"/>
      <c r="C127" s="170" t="s">
        <v>439</v>
      </c>
      <c r="D127" s="170" t="s">
        <v>129</v>
      </c>
      <c r="E127" s="171" t="s">
        <v>356</v>
      </c>
      <c r="F127" s="172" t="s">
        <v>357</v>
      </c>
      <c r="G127" s="173" t="s">
        <v>230</v>
      </c>
      <c r="H127" s="174">
        <f>H130</f>
        <v>132</v>
      </c>
      <c r="I127" s="174"/>
      <c r="J127" s="174">
        <f>ROUND(I127*H127,3)</f>
        <v>0</v>
      </c>
      <c r="K127" s="172" t="s">
        <v>156</v>
      </c>
      <c r="L127" s="132"/>
      <c r="M127" s="175" t="s">
        <v>9</v>
      </c>
      <c r="N127" s="176" t="s">
        <v>27</v>
      </c>
      <c r="O127" s="177">
        <v>1.161</v>
      </c>
      <c r="P127" s="177">
        <f>O127*H127</f>
        <v>153.25200000000001</v>
      </c>
      <c r="Q127" s="177">
        <v>6.3699999999999998E-3</v>
      </c>
      <c r="R127" s="177">
        <f>Q127*H127</f>
        <v>0.84083999999999992</v>
      </c>
      <c r="S127" s="177">
        <v>0</v>
      </c>
      <c r="T127" s="178">
        <f>S127*H127</f>
        <v>0</v>
      </c>
      <c r="AR127" s="128" t="s">
        <v>197</v>
      </c>
      <c r="AT127" s="128" t="s">
        <v>129</v>
      </c>
      <c r="AU127" s="128" t="s">
        <v>88</v>
      </c>
      <c r="AY127" s="128" t="s">
        <v>126</v>
      </c>
      <c r="BE127" s="138">
        <f>IF(N127="základná",J127,0)</f>
        <v>0</v>
      </c>
      <c r="BF127" s="138">
        <f>IF(N127="znížená",J127,0)</f>
        <v>0</v>
      </c>
      <c r="BG127" s="138">
        <f>IF(N127="zákl. prenesená",J127,0)</f>
        <v>0</v>
      </c>
      <c r="BH127" s="138">
        <f>IF(N127="zníž. prenesená",J127,0)</f>
        <v>0</v>
      </c>
      <c r="BI127" s="138">
        <f>IF(N127="nulová",J127,0)</f>
        <v>0</v>
      </c>
      <c r="BJ127" s="128" t="s">
        <v>88</v>
      </c>
      <c r="BK127" s="166">
        <f>ROUND(I127*H127,3)</f>
        <v>0</v>
      </c>
      <c r="BL127" s="128" t="s">
        <v>197</v>
      </c>
      <c r="BM127" s="128" t="s">
        <v>513</v>
      </c>
    </row>
    <row r="128" spans="2:65" s="26" customFormat="1" x14ac:dyDescent="0.25">
      <c r="B128" s="132"/>
      <c r="D128" s="179" t="s">
        <v>161</v>
      </c>
      <c r="E128" s="128" t="s">
        <v>9</v>
      </c>
      <c r="F128" s="143" t="s">
        <v>514</v>
      </c>
      <c r="H128" s="166">
        <v>115.5</v>
      </c>
      <c r="L128" s="132"/>
      <c r="M128" s="180"/>
      <c r="T128" s="181"/>
      <c r="AT128" s="128" t="s">
        <v>161</v>
      </c>
      <c r="AU128" s="128" t="s">
        <v>88</v>
      </c>
      <c r="AV128" s="26" t="s">
        <v>88</v>
      </c>
      <c r="AW128" s="26" t="s">
        <v>163</v>
      </c>
      <c r="AX128" s="26" t="s">
        <v>39</v>
      </c>
      <c r="AY128" s="128" t="s">
        <v>126</v>
      </c>
    </row>
    <row r="129" spans="2:65" s="26" customFormat="1" x14ac:dyDescent="0.25">
      <c r="B129" s="132"/>
      <c r="D129" s="179" t="s">
        <v>161</v>
      </c>
      <c r="E129" s="128" t="s">
        <v>9</v>
      </c>
      <c r="F129" s="143" t="s">
        <v>515</v>
      </c>
      <c r="H129" s="166">
        <f>15*1.1</f>
        <v>16.5</v>
      </c>
      <c r="L129" s="132"/>
      <c r="M129" s="180"/>
      <c r="T129" s="181"/>
      <c r="AT129" s="128" t="s">
        <v>161</v>
      </c>
      <c r="AU129" s="128" t="s">
        <v>88</v>
      </c>
      <c r="AV129" s="26" t="s">
        <v>88</v>
      </c>
      <c r="AW129" s="26" t="s">
        <v>163</v>
      </c>
      <c r="AX129" s="26" t="s">
        <v>39</v>
      </c>
      <c r="AY129" s="128" t="s">
        <v>126</v>
      </c>
    </row>
    <row r="130" spans="2:65" s="26" customFormat="1" x14ac:dyDescent="0.25">
      <c r="B130" s="132"/>
      <c r="D130" s="179" t="s">
        <v>161</v>
      </c>
      <c r="E130" s="128" t="s">
        <v>9</v>
      </c>
      <c r="F130" s="143" t="s">
        <v>218</v>
      </c>
      <c r="H130" s="166">
        <f>SUM(H128:H129)</f>
        <v>132</v>
      </c>
      <c r="L130" s="132"/>
      <c r="M130" s="180"/>
      <c r="T130" s="181"/>
      <c r="AT130" s="128" t="s">
        <v>161</v>
      </c>
      <c r="AU130" s="128" t="s">
        <v>88</v>
      </c>
      <c r="AV130" s="26" t="s">
        <v>132</v>
      </c>
      <c r="AW130" s="26" t="s">
        <v>163</v>
      </c>
      <c r="AX130" s="26" t="s">
        <v>42</v>
      </c>
      <c r="AY130" s="128" t="s">
        <v>126</v>
      </c>
    </row>
    <row r="131" spans="2:65" s="26" customFormat="1" ht="16.5" customHeight="1" x14ac:dyDescent="0.25">
      <c r="B131" s="169"/>
      <c r="C131" s="170" t="s">
        <v>440</v>
      </c>
      <c r="D131" s="170" t="s">
        <v>129</v>
      </c>
      <c r="E131" s="171" t="s">
        <v>365</v>
      </c>
      <c r="F131" s="172" t="s">
        <v>366</v>
      </c>
      <c r="G131" s="173" t="s">
        <v>234</v>
      </c>
      <c r="H131" s="174">
        <v>207.9</v>
      </c>
      <c r="I131" s="174"/>
      <c r="J131" s="174">
        <f>ROUND(I131*H131,3)</f>
        <v>0</v>
      </c>
      <c r="K131" s="172" t="s">
        <v>9</v>
      </c>
      <c r="L131" s="132"/>
      <c r="M131" s="175" t="s">
        <v>9</v>
      </c>
      <c r="N131" s="176" t="s">
        <v>27</v>
      </c>
      <c r="O131" s="177">
        <v>0</v>
      </c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AR131" s="128" t="s">
        <v>197</v>
      </c>
      <c r="AT131" s="128" t="s">
        <v>129</v>
      </c>
      <c r="AU131" s="128" t="s">
        <v>88</v>
      </c>
      <c r="AY131" s="128" t="s">
        <v>126</v>
      </c>
      <c r="BE131" s="138">
        <f>IF(N131="základná",J131,0)</f>
        <v>0</v>
      </c>
      <c r="BF131" s="138">
        <f>IF(N131="znížená",J131,0)</f>
        <v>0</v>
      </c>
      <c r="BG131" s="138">
        <f>IF(N131="zákl. prenesená",J131,0)</f>
        <v>0</v>
      </c>
      <c r="BH131" s="138">
        <f>IF(N131="zníž. prenesená",J131,0)</f>
        <v>0</v>
      </c>
      <c r="BI131" s="138">
        <f>IF(N131="nulová",J131,0)</f>
        <v>0</v>
      </c>
      <c r="BJ131" s="128" t="s">
        <v>88</v>
      </c>
      <c r="BK131" s="166">
        <f>ROUND(I131*H131,3)</f>
        <v>0</v>
      </c>
      <c r="BL131" s="128" t="s">
        <v>197</v>
      </c>
      <c r="BM131" s="128" t="s">
        <v>367</v>
      </c>
    </row>
    <row r="132" spans="2:65" s="26" customFormat="1" ht="16.5" customHeight="1" x14ac:dyDescent="0.25">
      <c r="B132" s="169"/>
      <c r="C132" s="170" t="s">
        <v>516</v>
      </c>
      <c r="D132" s="170" t="s">
        <v>129</v>
      </c>
      <c r="E132" s="171" t="s">
        <v>360</v>
      </c>
      <c r="F132" s="172" t="s">
        <v>361</v>
      </c>
      <c r="G132" s="173" t="s">
        <v>230</v>
      </c>
      <c r="H132" s="174">
        <v>229</v>
      </c>
      <c r="I132" s="174"/>
      <c r="J132" s="174">
        <f>I132*H132</f>
        <v>0</v>
      </c>
      <c r="K132" s="172"/>
      <c r="AF132" s="128"/>
      <c r="AH132" s="128"/>
      <c r="AI132" s="128"/>
      <c r="AM132" s="128"/>
      <c r="AS132" s="138"/>
      <c r="AT132" s="138"/>
      <c r="AU132" s="138"/>
      <c r="AV132" s="138"/>
      <c r="AW132" s="138"/>
      <c r="AX132" s="128"/>
      <c r="AY132" s="166"/>
      <c r="AZ132" s="128"/>
      <c r="BA132" s="128"/>
    </row>
    <row r="133" spans="2:65" s="26" customFormat="1" ht="16.5" customHeight="1" x14ac:dyDescent="0.25">
      <c r="B133" s="169"/>
      <c r="C133" s="170" t="s">
        <v>441</v>
      </c>
      <c r="D133" s="170" t="s">
        <v>129</v>
      </c>
      <c r="E133" s="171" t="s">
        <v>368</v>
      </c>
      <c r="F133" s="172" t="s">
        <v>369</v>
      </c>
      <c r="G133" s="173" t="s">
        <v>324</v>
      </c>
      <c r="H133" s="174">
        <f>SUM(J117:J131)/100*1.3</f>
        <v>0</v>
      </c>
      <c r="I133" s="174"/>
      <c r="J133" s="174">
        <f>ROUND(I133*H133,3)</f>
        <v>0</v>
      </c>
      <c r="K133" s="172" t="s">
        <v>156</v>
      </c>
      <c r="L133" s="132"/>
      <c r="M133" s="175" t="s">
        <v>9</v>
      </c>
      <c r="N133" s="176" t="s">
        <v>27</v>
      </c>
      <c r="O133" s="177">
        <v>0</v>
      </c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AR133" s="128" t="s">
        <v>197</v>
      </c>
      <c r="AT133" s="128" t="s">
        <v>129</v>
      </c>
      <c r="AU133" s="128" t="s">
        <v>88</v>
      </c>
      <c r="AY133" s="128" t="s">
        <v>126</v>
      </c>
      <c r="BE133" s="138">
        <f>IF(N133="základná",J133,0)</f>
        <v>0</v>
      </c>
      <c r="BF133" s="138">
        <f>IF(N133="znížená",J133,0)</f>
        <v>0</v>
      </c>
      <c r="BG133" s="138">
        <f>IF(N133="zákl. prenesená",J133,0)</f>
        <v>0</v>
      </c>
      <c r="BH133" s="138">
        <f>IF(N133="zníž. prenesená",J133,0)</f>
        <v>0</v>
      </c>
      <c r="BI133" s="138">
        <f>IF(N133="nulová",J133,0)</f>
        <v>0</v>
      </c>
      <c r="BJ133" s="128" t="s">
        <v>88</v>
      </c>
      <c r="BK133" s="166">
        <f>ROUND(I133*H133,3)</f>
        <v>0</v>
      </c>
      <c r="BL133" s="128" t="s">
        <v>197</v>
      </c>
      <c r="BM133" s="128" t="s">
        <v>370</v>
      </c>
    </row>
    <row r="134" spans="2:65" s="158" customFormat="1" ht="22.9" customHeight="1" x14ac:dyDescent="0.2">
      <c r="B134" s="157"/>
      <c r="D134" s="159" t="s">
        <v>123</v>
      </c>
      <c r="E134" s="167" t="s">
        <v>242</v>
      </c>
      <c r="F134" s="167" t="s">
        <v>243</v>
      </c>
      <c r="J134" s="168">
        <f>SUM(J135:J136)</f>
        <v>0</v>
      </c>
      <c r="L134" s="157"/>
      <c r="M134" s="162"/>
      <c r="P134" s="163">
        <f>SUM(P135:P136)</f>
        <v>1.6500000000000001</v>
      </c>
      <c r="R134" s="163">
        <f>SUM(R135:R136)</f>
        <v>2.7E-4</v>
      </c>
      <c r="T134" s="164">
        <f>SUM(T135:T136)</f>
        <v>0</v>
      </c>
      <c r="AR134" s="159" t="s">
        <v>88</v>
      </c>
      <c r="AT134" s="165" t="s">
        <v>123</v>
      </c>
      <c r="AU134" s="165" t="s">
        <v>42</v>
      </c>
      <c r="AY134" s="159" t="s">
        <v>126</v>
      </c>
      <c r="BK134" s="166">
        <f>SUM(BK135:BK136)</f>
        <v>0</v>
      </c>
    </row>
    <row r="135" spans="2:65" s="26" customFormat="1" ht="16.5" customHeight="1" x14ac:dyDescent="0.25">
      <c r="B135" s="169"/>
      <c r="C135" s="170" t="s">
        <v>442</v>
      </c>
      <c r="D135" s="170" t="s">
        <v>129</v>
      </c>
      <c r="E135" s="171" t="s">
        <v>371</v>
      </c>
      <c r="F135" s="172" t="s">
        <v>372</v>
      </c>
      <c r="G135" s="173" t="s">
        <v>205</v>
      </c>
      <c r="H135" s="174">
        <v>3</v>
      </c>
      <c r="I135" s="174"/>
      <c r="J135" s="174">
        <f>ROUND(I135*H135,3)</f>
        <v>0</v>
      </c>
      <c r="K135" s="172" t="s">
        <v>9</v>
      </c>
      <c r="L135" s="132"/>
      <c r="M135" s="175" t="s">
        <v>9</v>
      </c>
      <c r="N135" s="176" t="s">
        <v>27</v>
      </c>
      <c r="O135" s="177">
        <v>0.55000000000000004</v>
      </c>
      <c r="P135" s="177">
        <f>O135*H135</f>
        <v>1.6500000000000001</v>
      </c>
      <c r="Q135" s="177">
        <v>9.0000000000000006E-5</v>
      </c>
      <c r="R135" s="177">
        <f>Q135*H135</f>
        <v>2.7E-4</v>
      </c>
      <c r="S135" s="177">
        <v>0</v>
      </c>
      <c r="T135" s="178">
        <f>S135*H135</f>
        <v>0</v>
      </c>
      <c r="AR135" s="128" t="s">
        <v>197</v>
      </c>
      <c r="AT135" s="128" t="s">
        <v>129</v>
      </c>
      <c r="AU135" s="128" t="s">
        <v>88</v>
      </c>
      <c r="AY135" s="128" t="s">
        <v>126</v>
      </c>
      <c r="BE135" s="138">
        <f>IF(N135="základná",J135,0)</f>
        <v>0</v>
      </c>
      <c r="BF135" s="138">
        <f>IF(N135="znížená",J135,0)</f>
        <v>0</v>
      </c>
      <c r="BG135" s="138">
        <f>IF(N135="zákl. prenesená",J135,0)</f>
        <v>0</v>
      </c>
      <c r="BH135" s="138">
        <f>IF(N135="zníž. prenesená",J135,0)</f>
        <v>0</v>
      </c>
      <c r="BI135" s="138">
        <f>IF(N135="nulová",J135,0)</f>
        <v>0</v>
      </c>
      <c r="BJ135" s="128" t="s">
        <v>88</v>
      </c>
      <c r="BK135" s="166">
        <f>ROUND(I135*H135,3)</f>
        <v>0</v>
      </c>
      <c r="BL135" s="128" t="s">
        <v>197</v>
      </c>
      <c r="BM135" s="128" t="s">
        <v>373</v>
      </c>
    </row>
    <row r="136" spans="2:65" s="26" customFormat="1" ht="16.5" customHeight="1" x14ac:dyDescent="0.25">
      <c r="B136" s="169"/>
      <c r="C136" s="170" t="s">
        <v>444</v>
      </c>
      <c r="D136" s="170" t="s">
        <v>129</v>
      </c>
      <c r="E136" s="171" t="s">
        <v>374</v>
      </c>
      <c r="F136" s="172" t="s">
        <v>375</v>
      </c>
      <c r="G136" s="173" t="s">
        <v>324</v>
      </c>
      <c r="H136" s="174">
        <v>3.0230000000000001</v>
      </c>
      <c r="I136" s="174"/>
      <c r="J136" s="174">
        <f>ROUND(I136*H136,3)</f>
        <v>0</v>
      </c>
      <c r="K136" s="172" t="s">
        <v>156</v>
      </c>
      <c r="L136" s="132"/>
      <c r="M136" s="175" t="s">
        <v>9</v>
      </c>
      <c r="N136" s="176" t="s">
        <v>27</v>
      </c>
      <c r="O136" s="177">
        <v>0</v>
      </c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AR136" s="128" t="s">
        <v>197</v>
      </c>
      <c r="AT136" s="128" t="s">
        <v>129</v>
      </c>
      <c r="AU136" s="128" t="s">
        <v>88</v>
      </c>
      <c r="AY136" s="128" t="s">
        <v>126</v>
      </c>
      <c r="BE136" s="138">
        <f>IF(N136="základná",J136,0)</f>
        <v>0</v>
      </c>
      <c r="BF136" s="138">
        <f>IF(N136="znížená",J136,0)</f>
        <v>0</v>
      </c>
      <c r="BG136" s="138">
        <f>IF(N136="zákl. prenesená",J136,0)</f>
        <v>0</v>
      </c>
      <c r="BH136" s="138">
        <f>IF(N136="zníž. prenesená",J136,0)</f>
        <v>0</v>
      </c>
      <c r="BI136" s="138">
        <f>IF(N136="nulová",J136,0)</f>
        <v>0</v>
      </c>
      <c r="BJ136" s="128" t="s">
        <v>88</v>
      </c>
      <c r="BK136" s="166">
        <f>ROUND(I136*H136,3)</f>
        <v>0</v>
      </c>
      <c r="BL136" s="128" t="s">
        <v>197</v>
      </c>
      <c r="BM136" s="128" t="s">
        <v>376</v>
      </c>
    </row>
    <row r="137" spans="2:65" s="158" customFormat="1" ht="22.9" customHeight="1" x14ac:dyDescent="0.2">
      <c r="B137" s="157"/>
      <c r="D137" s="159"/>
      <c r="E137" s="167" t="s">
        <v>377</v>
      </c>
      <c r="F137" s="167" t="s">
        <v>378</v>
      </c>
      <c r="J137" s="168">
        <f>SUM(J138:J141)</f>
        <v>0</v>
      </c>
      <c r="L137" s="157"/>
      <c r="M137" s="162"/>
      <c r="P137" s="163"/>
      <c r="R137" s="163"/>
      <c r="T137" s="164"/>
      <c r="AR137" s="159"/>
      <c r="AT137" s="165"/>
      <c r="AU137" s="165"/>
      <c r="AY137" s="159"/>
      <c r="BK137" s="166"/>
    </row>
    <row r="138" spans="2:65" s="26" customFormat="1" ht="16.5" customHeight="1" x14ac:dyDescent="0.25">
      <c r="B138" s="169"/>
      <c r="C138" s="170">
        <v>28</v>
      </c>
      <c r="D138" s="170" t="s">
        <v>129</v>
      </c>
      <c r="E138" s="171" t="s">
        <v>379</v>
      </c>
      <c r="F138" s="172" t="s">
        <v>380</v>
      </c>
      <c r="G138" s="173" t="s">
        <v>136</v>
      </c>
      <c r="H138" s="174">
        <v>550</v>
      </c>
      <c r="I138" s="174"/>
      <c r="J138" s="174">
        <f>ROUND(I138*H138,3)</f>
        <v>0</v>
      </c>
      <c r="K138" s="172" t="s">
        <v>156</v>
      </c>
      <c r="L138" s="132"/>
      <c r="M138" s="175" t="s">
        <v>9</v>
      </c>
      <c r="N138" s="176" t="s">
        <v>27</v>
      </c>
      <c r="O138" s="177">
        <v>0</v>
      </c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128" t="s">
        <v>197</v>
      </c>
      <c r="AT138" s="128" t="s">
        <v>129</v>
      </c>
      <c r="AU138" s="128" t="s">
        <v>88</v>
      </c>
      <c r="AY138" s="128" t="s">
        <v>126</v>
      </c>
      <c r="BE138" s="138">
        <f>IF(N138="základná",J138,0)</f>
        <v>0</v>
      </c>
      <c r="BF138" s="138">
        <f>IF(N138="znížená",J138,0)</f>
        <v>0</v>
      </c>
      <c r="BG138" s="138">
        <f>IF(N138="zákl. prenesená",J138,0)</f>
        <v>0</v>
      </c>
      <c r="BH138" s="138">
        <f>IF(N138="zníž. prenesená",J138,0)</f>
        <v>0</v>
      </c>
      <c r="BI138" s="138">
        <f>IF(N138="nulová",J138,0)</f>
        <v>0</v>
      </c>
      <c r="BJ138" s="128" t="s">
        <v>88</v>
      </c>
      <c r="BK138" s="166">
        <f>ROUND(I138*H138,3)</f>
        <v>0</v>
      </c>
      <c r="BL138" s="128" t="s">
        <v>197</v>
      </c>
      <c r="BM138" s="128" t="s">
        <v>376</v>
      </c>
    </row>
    <row r="139" spans="2:65" s="26" customFormat="1" ht="16.5" customHeight="1" x14ac:dyDescent="0.25">
      <c r="B139" s="169"/>
      <c r="C139" s="170"/>
      <c r="D139" s="170"/>
      <c r="E139" s="171"/>
      <c r="F139" s="172" t="s">
        <v>453</v>
      </c>
      <c r="G139" s="173"/>
      <c r="H139" s="174"/>
      <c r="I139" s="174"/>
      <c r="J139" s="174"/>
      <c r="K139" s="172"/>
      <c r="L139" s="132"/>
      <c r="M139" s="175"/>
      <c r="N139" s="176"/>
      <c r="O139" s="177"/>
      <c r="P139" s="177"/>
      <c r="Q139" s="177"/>
      <c r="R139" s="177"/>
      <c r="S139" s="177"/>
      <c r="T139" s="178"/>
      <c r="AR139" s="128"/>
      <c r="AT139" s="128"/>
      <c r="AU139" s="128"/>
      <c r="AY139" s="128"/>
      <c r="BE139" s="138"/>
      <c r="BF139" s="138"/>
      <c r="BG139" s="138"/>
      <c r="BH139" s="138"/>
      <c r="BI139" s="138"/>
      <c r="BJ139" s="128"/>
      <c r="BK139" s="166"/>
      <c r="BL139" s="128"/>
      <c r="BM139" s="128"/>
    </row>
    <row r="140" spans="2:65" s="26" customFormat="1" ht="16.5" customHeight="1" x14ac:dyDescent="0.25">
      <c r="B140" s="169"/>
      <c r="C140" s="170"/>
      <c r="D140" s="170"/>
      <c r="E140" s="171"/>
      <c r="F140" s="172" t="s">
        <v>454</v>
      </c>
      <c r="G140" s="173"/>
      <c r="H140" s="174"/>
      <c r="I140" s="174"/>
      <c r="J140" s="174"/>
      <c r="K140" s="172"/>
      <c r="L140" s="132"/>
      <c r="M140" s="175"/>
      <c r="N140" s="176"/>
      <c r="O140" s="177"/>
      <c r="P140" s="177"/>
      <c r="Q140" s="177"/>
      <c r="R140" s="177"/>
      <c r="S140" s="177"/>
      <c r="T140" s="178"/>
      <c r="AR140" s="128"/>
      <c r="AT140" s="128"/>
      <c r="AU140" s="128"/>
      <c r="AY140" s="128"/>
      <c r="BE140" s="138"/>
      <c r="BF140" s="138"/>
      <c r="BG140" s="138"/>
      <c r="BH140" s="138"/>
      <c r="BI140" s="138"/>
      <c r="BJ140" s="128"/>
      <c r="BK140" s="166"/>
      <c r="BL140" s="128"/>
      <c r="BM140" s="128"/>
    </row>
    <row r="141" spans="2:65" s="26" customFormat="1" ht="16.5" customHeight="1" x14ac:dyDescent="0.25">
      <c r="B141" s="169"/>
      <c r="C141" s="170">
        <v>29</v>
      </c>
      <c r="D141" s="170"/>
      <c r="E141" s="171" t="s">
        <v>381</v>
      </c>
      <c r="F141" s="172" t="s">
        <v>382</v>
      </c>
      <c r="G141" s="173" t="s">
        <v>136</v>
      </c>
      <c r="H141" s="174">
        <f>H138</f>
        <v>550</v>
      </c>
      <c r="I141" s="174"/>
      <c r="J141" s="174">
        <f>ROUND(I141*H141,3)</f>
        <v>0</v>
      </c>
      <c r="K141" s="172"/>
      <c r="L141" s="132"/>
      <c r="M141" s="175"/>
      <c r="N141" s="176"/>
      <c r="O141" s="177"/>
      <c r="P141" s="177"/>
      <c r="Q141" s="177"/>
      <c r="R141" s="177"/>
      <c r="S141" s="177"/>
      <c r="T141" s="178"/>
      <c r="AR141" s="128"/>
      <c r="AT141" s="128"/>
      <c r="AU141" s="128"/>
      <c r="AY141" s="128"/>
      <c r="BE141" s="138"/>
      <c r="BF141" s="138"/>
      <c r="BG141" s="138"/>
      <c r="BH141" s="138"/>
      <c r="BI141" s="138"/>
      <c r="BJ141" s="128"/>
      <c r="BK141" s="166"/>
      <c r="BL141" s="128"/>
      <c r="BM141" s="128"/>
    </row>
    <row r="142" spans="2:65" s="158" customFormat="1" ht="25.9" customHeight="1" x14ac:dyDescent="0.2">
      <c r="B142" s="157"/>
      <c r="D142" s="159" t="s">
        <v>123</v>
      </c>
      <c r="E142" s="160" t="s">
        <v>261</v>
      </c>
      <c r="F142" s="160" t="s">
        <v>383</v>
      </c>
      <c r="J142" s="161">
        <f>J143</f>
        <v>0</v>
      </c>
      <c r="L142" s="157"/>
      <c r="M142" s="162"/>
      <c r="P142" s="163">
        <f>P143</f>
        <v>0.15</v>
      </c>
      <c r="R142" s="163">
        <f>R143</f>
        <v>0</v>
      </c>
      <c r="T142" s="164">
        <f>T143</f>
        <v>0</v>
      </c>
      <c r="AR142" s="159" t="s">
        <v>140</v>
      </c>
      <c r="AT142" s="165" t="s">
        <v>123</v>
      </c>
      <c r="AU142" s="165" t="s">
        <v>39</v>
      </c>
      <c r="AY142" s="159" t="s">
        <v>126</v>
      </c>
      <c r="BK142" s="166">
        <f>BK143</f>
        <v>0</v>
      </c>
    </row>
    <row r="143" spans="2:65" s="158" customFormat="1" ht="22.9" customHeight="1" x14ac:dyDescent="0.2">
      <c r="B143" s="157"/>
      <c r="D143" s="159" t="s">
        <v>123</v>
      </c>
      <c r="E143" s="167" t="s">
        <v>384</v>
      </c>
      <c r="F143" s="167" t="s">
        <v>385</v>
      </c>
      <c r="J143" s="168">
        <f>SUM(J144)</f>
        <v>0</v>
      </c>
      <c r="L143" s="157"/>
      <c r="M143" s="162"/>
      <c r="P143" s="163">
        <f>P144</f>
        <v>0.15</v>
      </c>
      <c r="R143" s="163">
        <f>R144</f>
        <v>0</v>
      </c>
      <c r="T143" s="164">
        <f>T144</f>
        <v>0</v>
      </c>
      <c r="AR143" s="159" t="s">
        <v>140</v>
      </c>
      <c r="AT143" s="165" t="s">
        <v>123</v>
      </c>
      <c r="AU143" s="165" t="s">
        <v>42</v>
      </c>
      <c r="AY143" s="159" t="s">
        <v>126</v>
      </c>
      <c r="BK143" s="166">
        <f>BK144</f>
        <v>0</v>
      </c>
    </row>
    <row r="144" spans="2:65" s="26" customFormat="1" ht="16.5" customHeight="1" x14ac:dyDescent="0.25">
      <c r="B144" s="169"/>
      <c r="C144" s="170">
        <v>30</v>
      </c>
      <c r="D144" s="170" t="s">
        <v>129</v>
      </c>
      <c r="E144" s="171" t="s">
        <v>386</v>
      </c>
      <c r="F144" s="172" t="s">
        <v>387</v>
      </c>
      <c r="G144" s="173" t="s">
        <v>153</v>
      </c>
      <c r="H144" s="174">
        <v>1</v>
      </c>
      <c r="I144" s="174"/>
      <c r="J144" s="174">
        <f>ROUND(I144*H144,3)</f>
        <v>0</v>
      </c>
      <c r="K144" s="172" t="s">
        <v>9</v>
      </c>
      <c r="L144" s="132"/>
      <c r="M144" s="183" t="s">
        <v>9</v>
      </c>
      <c r="N144" s="184" t="s">
        <v>27</v>
      </c>
      <c r="O144" s="185">
        <v>0.15</v>
      </c>
      <c r="P144" s="185">
        <f>O144*H144</f>
        <v>0.15</v>
      </c>
      <c r="Q144" s="185">
        <v>0</v>
      </c>
      <c r="R144" s="185">
        <f>Q144*H144</f>
        <v>0</v>
      </c>
      <c r="S144" s="185">
        <v>0</v>
      </c>
      <c r="T144" s="186">
        <f>S144*H144</f>
        <v>0</v>
      </c>
      <c r="AR144" s="128" t="s">
        <v>388</v>
      </c>
      <c r="AT144" s="128" t="s">
        <v>129</v>
      </c>
      <c r="AU144" s="128" t="s">
        <v>88</v>
      </c>
      <c r="AY144" s="128" t="s">
        <v>126</v>
      </c>
      <c r="BE144" s="138">
        <f>IF(N144="základná",J144,0)</f>
        <v>0</v>
      </c>
      <c r="BF144" s="138">
        <f>IF(N144="znížená",J144,0)</f>
        <v>0</v>
      </c>
      <c r="BG144" s="138">
        <f>IF(N144="zákl. prenesená",J144,0)</f>
        <v>0</v>
      </c>
      <c r="BH144" s="138">
        <f>IF(N144="zníž. prenesená",J144,0)</f>
        <v>0</v>
      </c>
      <c r="BI144" s="138">
        <f>IF(N144="nulová",J144,0)</f>
        <v>0</v>
      </c>
      <c r="BJ144" s="128" t="s">
        <v>88</v>
      </c>
      <c r="BK144" s="166">
        <f>ROUND(I144*H144,3)</f>
        <v>0</v>
      </c>
      <c r="BL144" s="128" t="s">
        <v>388</v>
      </c>
      <c r="BM144" s="128" t="s">
        <v>389</v>
      </c>
    </row>
    <row r="145" spans="2:65" s="26" customFormat="1" ht="16.5" customHeight="1" x14ac:dyDescent="0.25">
      <c r="B145" s="169"/>
      <c r="C145" s="194"/>
      <c r="D145" s="194"/>
      <c r="E145" s="195"/>
      <c r="F145" s="196"/>
      <c r="G145" s="197"/>
      <c r="H145" s="198"/>
      <c r="I145" s="198"/>
      <c r="J145" s="198"/>
      <c r="K145" s="196"/>
      <c r="L145" s="132"/>
      <c r="M145" s="128"/>
      <c r="N145" s="176"/>
      <c r="O145" s="177"/>
      <c r="P145" s="177"/>
      <c r="Q145" s="177"/>
      <c r="R145" s="177"/>
      <c r="S145" s="177"/>
      <c r="T145" s="177"/>
      <c r="AR145" s="128"/>
      <c r="AT145" s="128"/>
      <c r="AU145" s="128"/>
      <c r="AY145" s="128"/>
      <c r="BE145" s="138"/>
      <c r="BF145" s="138"/>
      <c r="BG145" s="138"/>
      <c r="BH145" s="138"/>
      <c r="BI145" s="138"/>
      <c r="BJ145" s="128"/>
      <c r="BK145" s="166"/>
      <c r="BL145" s="128"/>
      <c r="BM145" s="128"/>
    </row>
    <row r="146" spans="2:65" s="158" customFormat="1" ht="25.9" customHeight="1" x14ac:dyDescent="0.2">
      <c r="B146" s="157"/>
      <c r="D146" s="159"/>
      <c r="E146" s="160"/>
      <c r="F146" s="160" t="s">
        <v>390</v>
      </c>
      <c r="J146" s="161">
        <f>J147</f>
        <v>0</v>
      </c>
      <c r="L146" s="157"/>
      <c r="M146" s="162"/>
      <c r="P146" s="163">
        <f>P147</f>
        <v>0.66</v>
      </c>
      <c r="R146" s="163">
        <f>R147</f>
        <v>0</v>
      </c>
      <c r="T146" s="164">
        <f>T147</f>
        <v>0</v>
      </c>
      <c r="AR146" s="159" t="s">
        <v>140</v>
      </c>
      <c r="AT146" s="165" t="s">
        <v>123</v>
      </c>
      <c r="AU146" s="165" t="s">
        <v>39</v>
      </c>
      <c r="AY146" s="159" t="s">
        <v>126</v>
      </c>
      <c r="BK146" s="166">
        <f>BK147</f>
        <v>0</v>
      </c>
    </row>
    <row r="147" spans="2:65" s="158" customFormat="1" ht="22.9" customHeight="1" x14ac:dyDescent="0.2">
      <c r="B147" s="157"/>
      <c r="D147" s="159" t="s">
        <v>391</v>
      </c>
      <c r="E147" s="167">
        <v>0</v>
      </c>
      <c r="F147" s="167" t="s">
        <v>392</v>
      </c>
      <c r="J147" s="168">
        <f>SUM(J148:J151)</f>
        <v>0</v>
      </c>
      <c r="L147" s="157"/>
      <c r="M147" s="162"/>
      <c r="P147" s="163">
        <f>P148</f>
        <v>0.66</v>
      </c>
      <c r="R147" s="163">
        <f>R148</f>
        <v>0</v>
      </c>
      <c r="T147" s="164">
        <f>T148</f>
        <v>0</v>
      </c>
      <c r="AR147" s="159" t="s">
        <v>140</v>
      </c>
      <c r="AT147" s="165" t="s">
        <v>123</v>
      </c>
      <c r="AU147" s="165" t="s">
        <v>42</v>
      </c>
      <c r="AY147" s="159" t="s">
        <v>126</v>
      </c>
      <c r="BK147" s="166">
        <f>BK148</f>
        <v>0</v>
      </c>
    </row>
    <row r="148" spans="2:65" s="26" customFormat="1" ht="16.5" customHeight="1" x14ac:dyDescent="0.25">
      <c r="B148" s="169"/>
      <c r="C148" s="170">
        <v>31</v>
      </c>
      <c r="D148" s="170" t="s">
        <v>129</v>
      </c>
      <c r="E148" s="171" t="s">
        <v>393</v>
      </c>
      <c r="F148" s="172" t="s">
        <v>394</v>
      </c>
      <c r="G148" s="173" t="s">
        <v>324</v>
      </c>
      <c r="H148" s="174">
        <f>'[1]B -montáž - skúška 1.1'!H150</f>
        <v>4.4000000000000004</v>
      </c>
      <c r="I148" s="174"/>
      <c r="J148" s="174">
        <f>ROUND(I148*H148,3)</f>
        <v>0</v>
      </c>
      <c r="K148" s="172" t="s">
        <v>9</v>
      </c>
      <c r="L148" s="132"/>
      <c r="M148" s="183" t="s">
        <v>9</v>
      </c>
      <c r="N148" s="184" t="s">
        <v>27</v>
      </c>
      <c r="O148" s="185">
        <v>0.15</v>
      </c>
      <c r="P148" s="185">
        <f>O148*H148</f>
        <v>0.66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128" t="s">
        <v>388</v>
      </c>
      <c r="AT148" s="128" t="s">
        <v>129</v>
      </c>
      <c r="AU148" s="128" t="s">
        <v>88</v>
      </c>
      <c r="AY148" s="128" t="s">
        <v>126</v>
      </c>
      <c r="BE148" s="138">
        <f>IF(N148="základná",J148,0)</f>
        <v>0</v>
      </c>
      <c r="BF148" s="138">
        <f>IF(N148="znížená",J148,0)</f>
        <v>0</v>
      </c>
      <c r="BG148" s="138">
        <f>IF(N148="zákl. prenesená",J148,0)</f>
        <v>0</v>
      </c>
      <c r="BH148" s="138">
        <f>IF(N148="zníž. prenesená",J148,0)</f>
        <v>0</v>
      </c>
      <c r="BI148" s="138">
        <f>IF(N148="nulová",J148,0)</f>
        <v>0</v>
      </c>
      <c r="BJ148" s="128" t="s">
        <v>88</v>
      </c>
      <c r="BK148" s="166">
        <f>ROUND(I148*H148,3)</f>
        <v>0</v>
      </c>
      <c r="BL148" s="128" t="s">
        <v>388</v>
      </c>
      <c r="BM148" s="128" t="s">
        <v>389</v>
      </c>
    </row>
    <row r="149" spans="2:65" s="26" customFormat="1" ht="16.5" customHeight="1" x14ac:dyDescent="0.25">
      <c r="B149" s="169"/>
      <c r="C149" s="170">
        <v>32</v>
      </c>
      <c r="D149" s="170" t="s">
        <v>129</v>
      </c>
      <c r="E149" s="171" t="s">
        <v>395</v>
      </c>
      <c r="F149" s="172" t="s">
        <v>396</v>
      </c>
      <c r="G149" s="173" t="s">
        <v>324</v>
      </c>
      <c r="H149" s="174">
        <f>'[1]B -montáž - skúška 1.1'!H151</f>
        <v>1</v>
      </c>
      <c r="I149" s="174"/>
      <c r="J149" s="174">
        <f>ROUND(I149*H149,3)</f>
        <v>0</v>
      </c>
      <c r="K149" s="172" t="s">
        <v>9</v>
      </c>
      <c r="L149" s="132"/>
      <c r="M149" s="183" t="s">
        <v>9</v>
      </c>
      <c r="N149" s="184" t="s">
        <v>27</v>
      </c>
      <c r="O149" s="185">
        <v>0.15</v>
      </c>
      <c r="P149" s="185">
        <f>O149*H149</f>
        <v>0.15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AR149" s="128" t="s">
        <v>388</v>
      </c>
      <c r="AT149" s="128" t="s">
        <v>129</v>
      </c>
      <c r="AU149" s="128" t="s">
        <v>88</v>
      </c>
      <c r="AY149" s="128" t="s">
        <v>126</v>
      </c>
      <c r="BE149" s="138">
        <f>IF(N149="základná",J149,0)</f>
        <v>0</v>
      </c>
      <c r="BF149" s="138">
        <f>IF(N149="znížená",J149,0)</f>
        <v>0</v>
      </c>
      <c r="BG149" s="138">
        <f>IF(N149="zákl. prenesená",J149,0)</f>
        <v>0</v>
      </c>
      <c r="BH149" s="138">
        <f>IF(N149="zníž. prenesená",J149,0)</f>
        <v>0</v>
      </c>
      <c r="BI149" s="138">
        <f>IF(N149="nulová",J149,0)</f>
        <v>0</v>
      </c>
      <c r="BJ149" s="128" t="s">
        <v>88</v>
      </c>
      <c r="BK149" s="166">
        <f>ROUND(I149*H149,3)</f>
        <v>0</v>
      </c>
      <c r="BL149" s="128" t="s">
        <v>388</v>
      </c>
      <c r="BM149" s="128" t="s">
        <v>389</v>
      </c>
    </row>
    <row r="150" spans="2:65" s="26" customFormat="1" ht="16.5" customHeight="1" x14ac:dyDescent="0.25">
      <c r="B150" s="169"/>
      <c r="C150" s="170">
        <v>33</v>
      </c>
      <c r="D150" s="170" t="s">
        <v>129</v>
      </c>
      <c r="E150" s="171" t="s">
        <v>397</v>
      </c>
      <c r="F150" s="172" t="s">
        <v>398</v>
      </c>
      <c r="G150" s="173" t="s">
        <v>399</v>
      </c>
      <c r="H150" s="174">
        <f>H99*0.15</f>
        <v>440.32499999999999</v>
      </c>
      <c r="I150" s="174"/>
      <c r="J150" s="174">
        <f>ROUND(I150*H150,3)</f>
        <v>0</v>
      </c>
      <c r="K150" s="172"/>
      <c r="L150" s="132"/>
      <c r="M150" s="183"/>
      <c r="N150" s="184"/>
      <c r="O150" s="185"/>
      <c r="P150" s="185"/>
      <c r="Q150" s="185"/>
      <c r="R150" s="185"/>
      <c r="S150" s="185"/>
      <c r="T150" s="186"/>
      <c r="AR150" s="128"/>
      <c r="AT150" s="128"/>
      <c r="AU150" s="128"/>
      <c r="AY150" s="128"/>
      <c r="BE150" s="138"/>
      <c r="BF150" s="138"/>
      <c r="BG150" s="138"/>
      <c r="BH150" s="138"/>
      <c r="BI150" s="138"/>
      <c r="BJ150" s="128"/>
      <c r="BK150" s="166"/>
      <c r="BL150" s="128"/>
      <c r="BM150" s="128"/>
    </row>
    <row r="151" spans="2:65" s="26" customFormat="1" ht="16.5" customHeight="1" x14ac:dyDescent="0.25">
      <c r="B151" s="169"/>
      <c r="C151" s="170" t="s">
        <v>517</v>
      </c>
      <c r="D151" s="170" t="s">
        <v>129</v>
      </c>
      <c r="E151" s="171" t="s">
        <v>397</v>
      </c>
      <c r="F151" s="172" t="s">
        <v>401</v>
      </c>
      <c r="G151" s="173" t="s">
        <v>324</v>
      </c>
      <c r="H151" s="174">
        <f>'[1]B -montáž - skúška 1.1'!H153</f>
        <v>12.1</v>
      </c>
      <c r="I151" s="174"/>
      <c r="J151" s="174">
        <f>ROUND(I151*H151,3)</f>
        <v>0</v>
      </c>
      <c r="K151" s="172" t="s">
        <v>9</v>
      </c>
      <c r="L151" s="132"/>
      <c r="M151" s="183" t="s">
        <v>9</v>
      </c>
      <c r="N151" s="184" t="s">
        <v>27</v>
      </c>
      <c r="O151" s="185">
        <v>0.15</v>
      </c>
      <c r="P151" s="185">
        <f>O151*H151</f>
        <v>1.8149999999999999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AR151" s="128" t="s">
        <v>388</v>
      </c>
      <c r="AT151" s="128" t="s">
        <v>129</v>
      </c>
      <c r="AU151" s="128" t="s">
        <v>88</v>
      </c>
      <c r="AY151" s="128" t="s">
        <v>126</v>
      </c>
      <c r="BE151" s="138">
        <f>IF(N151="základná",J151,0)</f>
        <v>0</v>
      </c>
      <c r="BF151" s="138">
        <f>IF(N151="znížená",J151,0)</f>
        <v>0</v>
      </c>
      <c r="BG151" s="138">
        <f>IF(N151="zákl. prenesená",J151,0)</f>
        <v>0</v>
      </c>
      <c r="BH151" s="138">
        <f>IF(N151="zníž. prenesená",J151,0)</f>
        <v>0</v>
      </c>
      <c r="BI151" s="138">
        <f>IF(N151="nulová",J151,0)</f>
        <v>0</v>
      </c>
      <c r="BJ151" s="128" t="s">
        <v>88</v>
      </c>
      <c r="BK151" s="166">
        <f>ROUND(I151*H151,3)</f>
        <v>0</v>
      </c>
      <c r="BL151" s="128" t="s">
        <v>388</v>
      </c>
      <c r="BM151" s="128" t="s">
        <v>389</v>
      </c>
    </row>
    <row r="152" spans="2:65" s="26" customFormat="1" ht="6.95" customHeight="1" x14ac:dyDescent="0.25">
      <c r="B152" s="141"/>
      <c r="C152" s="36"/>
      <c r="D152" s="36"/>
      <c r="E152" s="36"/>
      <c r="F152" s="36"/>
      <c r="G152" s="36"/>
      <c r="H152" s="36"/>
      <c r="I152" s="36"/>
      <c r="J152" s="36"/>
      <c r="K152" s="36"/>
      <c r="L152" s="132"/>
    </row>
  </sheetData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7" right="0.7" top="0.75" bottom="0.75" header="0.3" footer="0.3"/>
  <pageSetup paperSize="9" scale="82" fitToHeight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22</vt:i4>
      </vt:variant>
      <vt:variant>
        <vt:lpstr>Pomenované rozsahy</vt:lpstr>
      </vt:variant>
      <vt:variant>
        <vt:i4>22</vt:i4>
      </vt:variant>
    </vt:vector>
  </HeadingPairs>
  <TitlesOfParts>
    <vt:vector size="44" baseType="lpstr">
      <vt:lpstr>Rekapitulácia stavby</vt:lpstr>
      <vt:lpstr>A- demontáž</vt:lpstr>
      <vt:lpstr>A- montáž </vt:lpstr>
      <vt:lpstr>B- demontáž</vt:lpstr>
      <vt:lpstr>B -montáž</vt:lpstr>
      <vt:lpstr>C atrium- demontáž</vt:lpstr>
      <vt:lpstr>C montáž</vt:lpstr>
      <vt:lpstr>C1- demontáž </vt:lpstr>
      <vt:lpstr>E-  montáž </vt:lpstr>
      <vt:lpstr>E- demontáž </vt:lpstr>
      <vt:lpstr>F- demontáž</vt:lpstr>
      <vt:lpstr>F montáž </vt:lpstr>
      <vt:lpstr>G- demontáž</vt:lpstr>
      <vt:lpstr>G montáž</vt:lpstr>
      <vt:lpstr>I- demontáž</vt:lpstr>
      <vt:lpstr>I montáž </vt:lpstr>
      <vt:lpstr>J- demontáž</vt:lpstr>
      <vt:lpstr>J montáž </vt:lpstr>
      <vt:lpstr>K- demontáž </vt:lpstr>
      <vt:lpstr>K montáž</vt:lpstr>
      <vt:lpstr>T- demontáž</vt:lpstr>
      <vt:lpstr>T montáž </vt:lpstr>
      <vt:lpstr>'A- demontáž'!Oblasť_tlače</vt:lpstr>
      <vt:lpstr>'A- montáž '!Oblasť_tlače</vt:lpstr>
      <vt:lpstr>'B- demontáž'!Oblasť_tlače</vt:lpstr>
      <vt:lpstr>'B -montáž'!Oblasť_tlače</vt:lpstr>
      <vt:lpstr>'C atrium- demontáž'!Oblasť_tlače</vt:lpstr>
      <vt:lpstr>'C montáž'!Oblasť_tlače</vt:lpstr>
      <vt:lpstr>'C1- demontáž '!Oblasť_tlače</vt:lpstr>
      <vt:lpstr>'E-  montáž '!Oblasť_tlače</vt:lpstr>
      <vt:lpstr>'E- demontáž '!Oblasť_tlače</vt:lpstr>
      <vt:lpstr>'F- demontáž'!Oblasť_tlače</vt:lpstr>
      <vt:lpstr>'F montáž '!Oblasť_tlače</vt:lpstr>
      <vt:lpstr>'G- demontáž'!Oblasť_tlače</vt:lpstr>
      <vt:lpstr>'G montáž'!Oblasť_tlače</vt:lpstr>
      <vt:lpstr>'I- demontáž'!Oblasť_tlače</vt:lpstr>
      <vt:lpstr>'I montáž '!Oblasť_tlače</vt:lpstr>
      <vt:lpstr>'J- demontáž'!Oblasť_tlače</vt:lpstr>
      <vt:lpstr>'J montáž '!Oblasť_tlače</vt:lpstr>
      <vt:lpstr>'K- demontáž '!Oblasť_tlače</vt:lpstr>
      <vt:lpstr>'K montáž'!Oblasť_tlače</vt:lpstr>
      <vt:lpstr>'Rekapitulácia stavby'!Oblasť_tlače</vt:lpstr>
      <vt:lpstr>'T- demontáž'!Oblasť_tlače</vt:lpstr>
      <vt:lpstr>'T montáž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Juraj Breza</cp:lastModifiedBy>
  <cp:lastPrinted>2019-06-25T09:58:43Z</cp:lastPrinted>
  <dcterms:created xsi:type="dcterms:W3CDTF">2019-06-25T08:57:00Z</dcterms:created>
  <dcterms:modified xsi:type="dcterms:W3CDTF">2020-01-16T08:42:33Z</dcterms:modified>
</cp:coreProperties>
</file>