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fileserver\Teams\Team06\Veřejné zakázky\Realizace zakázek dle směrnice\2024\19 oprava hřiště Šrámkova\výzva\"/>
    </mc:Choice>
  </mc:AlternateContent>
  <xr:revisionPtr revIDLastSave="0" documentId="13_ncr:1_{7FDB20C4-45D3-478B-91D0-CD92D0ECDB80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Stavební rozpočet - součet" sheetId="1" r:id="rId1"/>
    <sheet name="Krycí list rozpočtu" sheetId="2" r:id="rId2"/>
    <sheet name="VORN" sheetId="3" state="hidden" r:id="rId3"/>
    <sheet name="Stavební rozpočet" sheetId="4" r:id="rId4"/>
  </sheets>
  <definedNames>
    <definedName name="vorn_sum">VORN!$I$45</definedName>
  </definedNames>
  <calcPr calcId="191029"/>
</workbook>
</file>

<file path=xl/calcChain.xml><?xml version="1.0" encoding="utf-8"?>
<calcChain xmlns="http://schemas.openxmlformats.org/spreadsheetml/2006/main">
  <c r="BS78" i="4" l="1"/>
  <c r="BJ78" i="4"/>
  <c r="BF78" i="4"/>
  <c r="BD78" i="4"/>
  <c r="AP78" i="4"/>
  <c r="AX78" i="4" s="1"/>
  <c r="AO78" i="4"/>
  <c r="BH78" i="4" s="1"/>
  <c r="AK78" i="4"/>
  <c r="AT77" i="4" s="1"/>
  <c r="AJ78" i="4"/>
  <c r="AH78" i="4"/>
  <c r="AG78" i="4"/>
  <c r="AF78" i="4"/>
  <c r="AE78" i="4"/>
  <c r="AD78" i="4"/>
  <c r="AC78" i="4"/>
  <c r="AB78" i="4"/>
  <c r="Z78" i="4"/>
  <c r="I78" i="4"/>
  <c r="AL78" i="4" s="1"/>
  <c r="AU77" i="4" s="1"/>
  <c r="AS77" i="4"/>
  <c r="I77" i="4"/>
  <c r="I76" i="4" s="1"/>
  <c r="G22" i="1" s="1"/>
  <c r="BJ72" i="4"/>
  <c r="BF72" i="4"/>
  <c r="BD72" i="4"/>
  <c r="AW72" i="4"/>
  <c r="AP72" i="4"/>
  <c r="AX72" i="4" s="1"/>
  <c r="AO72" i="4"/>
  <c r="BH72" i="4" s="1"/>
  <c r="AD72" i="4" s="1"/>
  <c r="AL72" i="4"/>
  <c r="AK72" i="4"/>
  <c r="AT71" i="4" s="1"/>
  <c r="AJ72" i="4"/>
  <c r="AS71" i="4" s="1"/>
  <c r="AH72" i="4"/>
  <c r="AG72" i="4"/>
  <c r="AF72" i="4"/>
  <c r="AC72" i="4"/>
  <c r="AB72" i="4"/>
  <c r="Z72" i="4"/>
  <c r="I72" i="4"/>
  <c r="AU71" i="4"/>
  <c r="I71" i="4"/>
  <c r="BJ70" i="4"/>
  <c r="Z70" i="4" s="1"/>
  <c r="BF70" i="4"/>
  <c r="BD70" i="4"/>
  <c r="AW70" i="4"/>
  <c r="AP70" i="4"/>
  <c r="BI70" i="4" s="1"/>
  <c r="AO70" i="4"/>
  <c r="BH70" i="4" s="1"/>
  <c r="AK70" i="4"/>
  <c r="AJ70" i="4"/>
  <c r="AH70" i="4"/>
  <c r="AG70" i="4"/>
  <c r="AF70" i="4"/>
  <c r="AE70" i="4"/>
  <c r="AD70" i="4"/>
  <c r="AC70" i="4"/>
  <c r="AB70" i="4"/>
  <c r="I70" i="4"/>
  <c r="AL70" i="4" s="1"/>
  <c r="BJ69" i="4"/>
  <c r="Z69" i="4" s="1"/>
  <c r="BF69" i="4"/>
  <c r="BD69" i="4"/>
  <c r="AP69" i="4"/>
  <c r="BI69" i="4" s="1"/>
  <c r="AO69" i="4"/>
  <c r="BH69" i="4" s="1"/>
  <c r="AK69" i="4"/>
  <c r="AJ69" i="4"/>
  <c r="AH69" i="4"/>
  <c r="AG69" i="4"/>
  <c r="AF69" i="4"/>
  <c r="AE69" i="4"/>
  <c r="AD69" i="4"/>
  <c r="AC69" i="4"/>
  <c r="AB69" i="4"/>
  <c r="I69" i="4"/>
  <c r="AL69" i="4" s="1"/>
  <c r="BJ67" i="4"/>
  <c r="Z67" i="4" s="1"/>
  <c r="BF67" i="4"/>
  <c r="BD67" i="4"/>
  <c r="AP67" i="4"/>
  <c r="BI67" i="4" s="1"/>
  <c r="AO67" i="4"/>
  <c r="BH67" i="4" s="1"/>
  <c r="AK67" i="4"/>
  <c r="AJ67" i="4"/>
  <c r="AH67" i="4"/>
  <c r="AG67" i="4"/>
  <c r="AF67" i="4"/>
  <c r="AE67" i="4"/>
  <c r="AD67" i="4"/>
  <c r="AC67" i="4"/>
  <c r="AB67" i="4"/>
  <c r="I67" i="4"/>
  <c r="I65" i="4" s="1"/>
  <c r="G20" i="1" s="1"/>
  <c r="I20" i="1" s="1"/>
  <c r="BJ66" i="4"/>
  <c r="Z66" i="4" s="1"/>
  <c r="BF66" i="4"/>
  <c r="BD66" i="4"/>
  <c r="AX66" i="4"/>
  <c r="AP66" i="4"/>
  <c r="BI66" i="4" s="1"/>
  <c r="AO66" i="4"/>
  <c r="BH66" i="4" s="1"/>
  <c r="AL66" i="4"/>
  <c r="AK66" i="4"/>
  <c r="AT65" i="4" s="1"/>
  <c r="AJ66" i="4"/>
  <c r="AH66" i="4"/>
  <c r="AG66" i="4"/>
  <c r="AF66" i="4"/>
  <c r="AE66" i="4"/>
  <c r="AD66" i="4"/>
  <c r="AC66" i="4"/>
  <c r="AB66" i="4"/>
  <c r="I66" i="4"/>
  <c r="AS65" i="4"/>
  <c r="BJ63" i="4"/>
  <c r="BF63" i="4"/>
  <c r="BD63" i="4"/>
  <c r="AW63" i="4"/>
  <c r="AP63" i="4"/>
  <c r="BI63" i="4" s="1"/>
  <c r="AC63" i="4" s="1"/>
  <c r="AO63" i="4"/>
  <c r="BH63" i="4" s="1"/>
  <c r="AB63" i="4" s="1"/>
  <c r="AK63" i="4"/>
  <c r="AT59" i="4" s="1"/>
  <c r="AJ63" i="4"/>
  <c r="AH63" i="4"/>
  <c r="AG63" i="4"/>
  <c r="AF63" i="4"/>
  <c r="AE63" i="4"/>
  <c r="AD63" i="4"/>
  <c r="Z63" i="4"/>
  <c r="I63" i="4"/>
  <c r="AL63" i="4" s="1"/>
  <c r="BJ60" i="4"/>
  <c r="BF60" i="4"/>
  <c r="BD60" i="4"/>
  <c r="AP60" i="4"/>
  <c r="BI60" i="4" s="1"/>
  <c r="AC60" i="4" s="1"/>
  <c r="AO60" i="4"/>
  <c r="BH60" i="4" s="1"/>
  <c r="AB60" i="4" s="1"/>
  <c r="AK60" i="4"/>
  <c r="AJ60" i="4"/>
  <c r="AH60" i="4"/>
  <c r="AG60" i="4"/>
  <c r="AF60" i="4"/>
  <c r="AE60" i="4"/>
  <c r="AD60" i="4"/>
  <c r="Z60" i="4"/>
  <c r="I60" i="4"/>
  <c r="AL60" i="4" s="1"/>
  <c r="AS59" i="4"/>
  <c r="I59" i="4"/>
  <c r="BJ56" i="4"/>
  <c r="BF56" i="4"/>
  <c r="BD56" i="4"/>
  <c r="AX56" i="4"/>
  <c r="AP56" i="4"/>
  <c r="BI56" i="4" s="1"/>
  <c r="AC56" i="4" s="1"/>
  <c r="AO56" i="4"/>
  <c r="BH56" i="4" s="1"/>
  <c r="AB56" i="4" s="1"/>
  <c r="AK56" i="4"/>
  <c r="AJ56" i="4"/>
  <c r="AS52" i="4" s="1"/>
  <c r="AH56" i="4"/>
  <c r="AG56" i="4"/>
  <c r="AF56" i="4"/>
  <c r="AE56" i="4"/>
  <c r="AD56" i="4"/>
  <c r="Z56" i="4"/>
  <c r="I56" i="4"/>
  <c r="BJ53" i="4"/>
  <c r="BF53" i="4"/>
  <c r="BD53" i="4"/>
  <c r="AW53" i="4"/>
  <c r="AP53" i="4"/>
  <c r="BI53" i="4" s="1"/>
  <c r="AC53" i="4" s="1"/>
  <c r="AO53" i="4"/>
  <c r="BH53" i="4" s="1"/>
  <c r="AB53" i="4" s="1"/>
  <c r="AK53" i="4"/>
  <c r="AT52" i="4" s="1"/>
  <c r="AJ53" i="4"/>
  <c r="AH53" i="4"/>
  <c r="AG53" i="4"/>
  <c r="AF53" i="4"/>
  <c r="AE53" i="4"/>
  <c r="AD53" i="4"/>
  <c r="Z53" i="4"/>
  <c r="I53" i="4"/>
  <c r="AL53" i="4" s="1"/>
  <c r="BJ49" i="4"/>
  <c r="BF49" i="4"/>
  <c r="BD49" i="4"/>
  <c r="AP49" i="4"/>
  <c r="BI49" i="4" s="1"/>
  <c r="AC49" i="4" s="1"/>
  <c r="AO49" i="4"/>
  <c r="BH49" i="4" s="1"/>
  <c r="AB49" i="4" s="1"/>
  <c r="AK49" i="4"/>
  <c r="AJ49" i="4"/>
  <c r="AH49" i="4"/>
  <c r="AG49" i="4"/>
  <c r="AF49" i="4"/>
  <c r="AE49" i="4"/>
  <c r="AD49" i="4"/>
  <c r="Z49" i="4"/>
  <c r="I49" i="4"/>
  <c r="AL49" i="4" s="1"/>
  <c r="AU48" i="4" s="1"/>
  <c r="AT48" i="4"/>
  <c r="AS48" i="4"/>
  <c r="I48" i="4"/>
  <c r="G17" i="1" s="1"/>
  <c r="I17" i="1" s="1"/>
  <c r="BJ47" i="4"/>
  <c r="Z47" i="4" s="1"/>
  <c r="BF47" i="4"/>
  <c r="BD47" i="4"/>
  <c r="AP47" i="4"/>
  <c r="BI47" i="4" s="1"/>
  <c r="AO47" i="4"/>
  <c r="BH47" i="4" s="1"/>
  <c r="AK47" i="4"/>
  <c r="AJ47" i="4"/>
  <c r="AH47" i="4"/>
  <c r="AG47" i="4"/>
  <c r="AF47" i="4"/>
  <c r="AE47" i="4"/>
  <c r="AD47" i="4"/>
  <c r="AC47" i="4"/>
  <c r="AB47" i="4"/>
  <c r="I47" i="4"/>
  <c r="AL47" i="4" s="1"/>
  <c r="BJ44" i="4"/>
  <c r="BF44" i="4"/>
  <c r="BD44" i="4"/>
  <c r="AX44" i="4"/>
  <c r="AP44" i="4"/>
  <c r="BI44" i="4" s="1"/>
  <c r="AC44" i="4" s="1"/>
  <c r="AO44" i="4"/>
  <c r="BH44" i="4" s="1"/>
  <c r="AB44" i="4" s="1"/>
  <c r="AK44" i="4"/>
  <c r="AJ44" i="4"/>
  <c r="AH44" i="4"/>
  <c r="AG44" i="4"/>
  <c r="AF44" i="4"/>
  <c r="AE44" i="4"/>
  <c r="AD44" i="4"/>
  <c r="Z44" i="4"/>
  <c r="I44" i="4"/>
  <c r="AL44" i="4" s="1"/>
  <c r="AT43" i="4"/>
  <c r="BJ41" i="4"/>
  <c r="BF41" i="4"/>
  <c r="BD41" i="4"/>
  <c r="AP41" i="4"/>
  <c r="AX41" i="4" s="1"/>
  <c r="AO41" i="4"/>
  <c r="BH41" i="4" s="1"/>
  <c r="AB41" i="4" s="1"/>
  <c r="AL41" i="4"/>
  <c r="AK41" i="4"/>
  <c r="AJ41" i="4"/>
  <c r="AH41" i="4"/>
  <c r="AG41" i="4"/>
  <c r="AF41" i="4"/>
  <c r="AE41" i="4"/>
  <c r="AD41" i="4"/>
  <c r="Z41" i="4"/>
  <c r="I41" i="4"/>
  <c r="I37" i="4" s="1"/>
  <c r="G15" i="1" s="1"/>
  <c r="I15" i="1" s="1"/>
  <c r="BJ39" i="4"/>
  <c r="BF39" i="4"/>
  <c r="BD39" i="4"/>
  <c r="AP39" i="4"/>
  <c r="BI39" i="4" s="1"/>
  <c r="AC39" i="4" s="1"/>
  <c r="AO39" i="4"/>
  <c r="AW39" i="4" s="1"/>
  <c r="AK39" i="4"/>
  <c r="AJ39" i="4"/>
  <c r="AS37" i="4" s="1"/>
  <c r="AH39" i="4"/>
  <c r="AG39" i="4"/>
  <c r="AF39" i="4"/>
  <c r="AE39" i="4"/>
  <c r="AD39" i="4"/>
  <c r="Z39" i="4"/>
  <c r="I39" i="4"/>
  <c r="AL39" i="4" s="1"/>
  <c r="BJ38" i="4"/>
  <c r="BF38" i="4"/>
  <c r="BD38" i="4"/>
  <c r="AP38" i="4"/>
  <c r="BI38" i="4" s="1"/>
  <c r="AC38" i="4" s="1"/>
  <c r="AO38" i="4"/>
  <c r="BH38" i="4" s="1"/>
  <c r="AB38" i="4" s="1"/>
  <c r="AK38" i="4"/>
  <c r="AJ38" i="4"/>
  <c r="AH38" i="4"/>
  <c r="AG38" i="4"/>
  <c r="AF38" i="4"/>
  <c r="C18" i="2" s="1"/>
  <c r="AE38" i="4"/>
  <c r="AD38" i="4"/>
  <c r="Z38" i="4"/>
  <c r="I38" i="4"/>
  <c r="AL38" i="4" s="1"/>
  <c r="BJ33" i="4"/>
  <c r="BF33" i="4"/>
  <c r="BD33" i="4"/>
  <c r="AP33" i="4"/>
  <c r="BI33" i="4" s="1"/>
  <c r="AC33" i="4" s="1"/>
  <c r="AO33" i="4"/>
  <c r="BH33" i="4" s="1"/>
  <c r="AB33" i="4" s="1"/>
  <c r="AK33" i="4"/>
  <c r="AJ33" i="4"/>
  <c r="AH33" i="4"/>
  <c r="AG33" i="4"/>
  <c r="AF33" i="4"/>
  <c r="AE33" i="4"/>
  <c r="AD33" i="4"/>
  <c r="Z33" i="4"/>
  <c r="I33" i="4"/>
  <c r="AL33" i="4" s="1"/>
  <c r="AU32" i="4" s="1"/>
  <c r="AT32" i="4"/>
  <c r="AS32" i="4"/>
  <c r="I32" i="4"/>
  <c r="G14" i="1" s="1"/>
  <c r="I14" i="1" s="1"/>
  <c r="BJ29" i="4"/>
  <c r="BF29" i="4"/>
  <c r="BD29" i="4"/>
  <c r="AW29" i="4"/>
  <c r="AV29" i="4" s="1"/>
  <c r="AP29" i="4"/>
  <c r="AX29" i="4" s="1"/>
  <c r="AO29" i="4"/>
  <c r="BH29" i="4" s="1"/>
  <c r="AB29" i="4" s="1"/>
  <c r="AL29" i="4"/>
  <c r="AU28" i="4" s="1"/>
  <c r="AK29" i="4"/>
  <c r="AT28" i="4" s="1"/>
  <c r="AJ29" i="4"/>
  <c r="AH29" i="4"/>
  <c r="AG29" i="4"/>
  <c r="AF29" i="4"/>
  <c r="AE29" i="4"/>
  <c r="AD29" i="4"/>
  <c r="Z29" i="4"/>
  <c r="I29" i="4"/>
  <c r="I28" i="4" s="1"/>
  <c r="G13" i="1" s="1"/>
  <c r="I13" i="1" s="1"/>
  <c r="AS28" i="4"/>
  <c r="BJ24" i="4"/>
  <c r="BF24" i="4"/>
  <c r="BD24" i="4"/>
  <c r="AP24" i="4"/>
  <c r="BI24" i="4" s="1"/>
  <c r="AC24" i="4" s="1"/>
  <c r="AO24" i="4"/>
  <c r="AW24" i="4" s="1"/>
  <c r="AK24" i="4"/>
  <c r="AJ24" i="4"/>
  <c r="AH24" i="4"/>
  <c r="AG24" i="4"/>
  <c r="AF24" i="4"/>
  <c r="AE24" i="4"/>
  <c r="AD24" i="4"/>
  <c r="Z24" i="4"/>
  <c r="I24" i="4"/>
  <c r="AL24" i="4" s="1"/>
  <c r="BJ21" i="4"/>
  <c r="BF21" i="4"/>
  <c r="BD21" i="4"/>
  <c r="AP21" i="4"/>
  <c r="BI21" i="4" s="1"/>
  <c r="AC21" i="4" s="1"/>
  <c r="AO21" i="4"/>
  <c r="BH21" i="4" s="1"/>
  <c r="AB21" i="4" s="1"/>
  <c r="AK21" i="4"/>
  <c r="AJ21" i="4"/>
  <c r="AH21" i="4"/>
  <c r="AG21" i="4"/>
  <c r="AF21" i="4"/>
  <c r="AE21" i="4"/>
  <c r="AD21" i="4"/>
  <c r="Z21" i="4"/>
  <c r="I21" i="4"/>
  <c r="AL21" i="4" s="1"/>
  <c r="BJ20" i="4"/>
  <c r="BF20" i="4"/>
  <c r="BD20" i="4"/>
  <c r="AX20" i="4"/>
  <c r="AP20" i="4"/>
  <c r="BI20" i="4" s="1"/>
  <c r="AC20" i="4" s="1"/>
  <c r="AO20" i="4"/>
  <c r="BH20" i="4" s="1"/>
  <c r="AB20" i="4" s="1"/>
  <c r="AK20" i="4"/>
  <c r="AJ20" i="4"/>
  <c r="AH20" i="4"/>
  <c r="AG20" i="4"/>
  <c r="AF20" i="4"/>
  <c r="AE20" i="4"/>
  <c r="AD20" i="4"/>
  <c r="Z20" i="4"/>
  <c r="I20" i="4"/>
  <c r="AL20" i="4" s="1"/>
  <c r="BJ17" i="4"/>
  <c r="BF17" i="4"/>
  <c r="BD17" i="4"/>
  <c r="AW17" i="4"/>
  <c r="AV17" i="4" s="1"/>
  <c r="AP17" i="4"/>
  <c r="AX17" i="4" s="1"/>
  <c r="AO17" i="4"/>
  <c r="BH17" i="4" s="1"/>
  <c r="AB17" i="4" s="1"/>
  <c r="AK17" i="4"/>
  <c r="AT14" i="4" s="1"/>
  <c r="AJ17" i="4"/>
  <c r="C27" i="2" s="1"/>
  <c r="AH17" i="4"/>
  <c r="AG17" i="4"/>
  <c r="AF17" i="4"/>
  <c r="AE17" i="4"/>
  <c r="AD17" i="4"/>
  <c r="Z17" i="4"/>
  <c r="I17" i="4"/>
  <c r="AL17" i="4" s="1"/>
  <c r="BJ15" i="4"/>
  <c r="BF15" i="4"/>
  <c r="BD15" i="4"/>
  <c r="AP15" i="4"/>
  <c r="BI15" i="4" s="1"/>
  <c r="AC15" i="4" s="1"/>
  <c r="AO15" i="4"/>
  <c r="AW15" i="4" s="1"/>
  <c r="AK15" i="4"/>
  <c r="AJ15" i="4"/>
  <c r="AH15" i="4"/>
  <c r="AG15" i="4"/>
  <c r="AF15" i="4"/>
  <c r="AE15" i="4"/>
  <c r="AD15" i="4"/>
  <c r="Z15" i="4"/>
  <c r="I15" i="4"/>
  <c r="AL15" i="4" s="1"/>
  <c r="AS14" i="4"/>
  <c r="BJ13" i="4"/>
  <c r="BF13" i="4"/>
  <c r="BD13" i="4"/>
  <c r="AP13" i="4"/>
  <c r="BI13" i="4" s="1"/>
  <c r="AC13" i="4" s="1"/>
  <c r="AO13" i="4"/>
  <c r="BH13" i="4" s="1"/>
  <c r="AB13" i="4" s="1"/>
  <c r="AK13" i="4"/>
  <c r="AJ13" i="4"/>
  <c r="AH13" i="4"/>
  <c r="C20" i="2" s="1"/>
  <c r="AG13" i="4"/>
  <c r="AF13" i="4"/>
  <c r="AE13" i="4"/>
  <c r="AD13" i="4"/>
  <c r="Z13" i="4"/>
  <c r="I13" i="4"/>
  <c r="AL13" i="4" s="1"/>
  <c r="AT12" i="4"/>
  <c r="AS12" i="4"/>
  <c r="I12" i="4"/>
  <c r="G11" i="1" s="1"/>
  <c r="I11" i="1" s="1"/>
  <c r="AU1" i="4"/>
  <c r="AT1" i="4"/>
  <c r="AS1" i="4"/>
  <c r="F44" i="3"/>
  <c r="I44" i="3" s="1"/>
  <c r="F43" i="3"/>
  <c r="I43" i="3" s="1"/>
  <c r="F42" i="3"/>
  <c r="I42" i="3" s="1"/>
  <c r="F41" i="3"/>
  <c r="I41" i="3" s="1"/>
  <c r="F40" i="3"/>
  <c r="I40" i="3" s="1"/>
  <c r="F39" i="3"/>
  <c r="I39" i="3" s="1"/>
  <c r="F38" i="3"/>
  <c r="I38" i="3" s="1"/>
  <c r="F37" i="3"/>
  <c r="I37" i="3" s="1"/>
  <c r="F36" i="3"/>
  <c r="I36" i="3" s="1"/>
  <c r="F35" i="3"/>
  <c r="I35" i="3" s="1"/>
  <c r="I26" i="3"/>
  <c r="I25" i="3"/>
  <c r="I18" i="2" s="1"/>
  <c r="I24" i="3"/>
  <c r="I17" i="2" s="1"/>
  <c r="I23" i="3"/>
  <c r="I22" i="3"/>
  <c r="I21" i="3"/>
  <c r="I17" i="3"/>
  <c r="I16" i="3"/>
  <c r="I15" i="3"/>
  <c r="I10" i="3"/>
  <c r="F10" i="3"/>
  <c r="C10" i="3"/>
  <c r="F8" i="3"/>
  <c r="C8" i="3"/>
  <c r="F6" i="3"/>
  <c r="C6" i="3"/>
  <c r="F4" i="3"/>
  <c r="C4" i="3"/>
  <c r="F2" i="3"/>
  <c r="C2" i="3"/>
  <c r="I19" i="2"/>
  <c r="C19" i="2"/>
  <c r="I16" i="2"/>
  <c r="F16" i="2"/>
  <c r="I15" i="2"/>
  <c r="F15" i="2"/>
  <c r="I14" i="2"/>
  <c r="I22" i="2" s="1"/>
  <c r="F14" i="2"/>
  <c r="I10" i="2"/>
  <c r="F10" i="2"/>
  <c r="C10" i="2"/>
  <c r="F8" i="2"/>
  <c r="C8" i="2"/>
  <c r="F6" i="2"/>
  <c r="C6" i="2"/>
  <c r="F4" i="2"/>
  <c r="C4" i="2"/>
  <c r="F2" i="2"/>
  <c r="C2" i="2"/>
  <c r="I23" i="1"/>
  <c r="G23" i="1"/>
  <c r="I22" i="1"/>
  <c r="I21" i="1"/>
  <c r="G21" i="1"/>
  <c r="I19" i="1"/>
  <c r="G19" i="1"/>
  <c r="G8" i="1"/>
  <c r="C8" i="1"/>
  <c r="G6" i="1"/>
  <c r="C6" i="1"/>
  <c r="G4" i="1"/>
  <c r="C4" i="1"/>
  <c r="G2" i="1"/>
  <c r="C2" i="1"/>
  <c r="C28" i="2" l="1"/>
  <c r="F28" i="2" s="1"/>
  <c r="I27" i="3"/>
  <c r="AX33" i="4"/>
  <c r="I52" i="4"/>
  <c r="G18" i="1" s="1"/>
  <c r="I18" i="1" s="1"/>
  <c r="AX67" i="4"/>
  <c r="F22" i="2"/>
  <c r="AW49" i="4"/>
  <c r="I43" i="4"/>
  <c r="G16" i="1" s="1"/>
  <c r="I16" i="1" s="1"/>
  <c r="C16" i="2"/>
  <c r="C21" i="2"/>
  <c r="I18" i="3"/>
  <c r="AT37" i="4"/>
  <c r="AS43" i="4"/>
  <c r="AX53" i="4"/>
  <c r="AV53" i="4" s="1"/>
  <c r="AW41" i="4"/>
  <c r="AV41" i="4" s="1"/>
  <c r="AW66" i="4"/>
  <c r="AV66" i="4" s="1"/>
  <c r="AU43" i="4"/>
  <c r="AV72" i="4"/>
  <c r="F29" i="3"/>
  <c r="I45" i="3"/>
  <c r="I24" i="2" s="1"/>
  <c r="AU12" i="4"/>
  <c r="AU14" i="4"/>
  <c r="AV24" i="4"/>
  <c r="BC24" i="4"/>
  <c r="AU59" i="4"/>
  <c r="AU37" i="4"/>
  <c r="AW13" i="4"/>
  <c r="I14" i="4"/>
  <c r="G12" i="1" s="1"/>
  <c r="I12" i="1" s="1"/>
  <c r="AX15" i="4"/>
  <c r="AV15" i="4" s="1"/>
  <c r="BH15" i="4"/>
  <c r="AB15" i="4" s="1"/>
  <c r="C14" i="2" s="1"/>
  <c r="BC17" i="4"/>
  <c r="BI17" i="4"/>
  <c r="AC17" i="4" s="1"/>
  <c r="AW21" i="4"/>
  <c r="AX24" i="4"/>
  <c r="BH24" i="4"/>
  <c r="AB24" i="4" s="1"/>
  <c r="BC29" i="4"/>
  <c r="BI29" i="4"/>
  <c r="AC29" i="4" s="1"/>
  <c r="AW38" i="4"/>
  <c r="AX39" i="4"/>
  <c r="AV39" i="4" s="1"/>
  <c r="BH39" i="4"/>
  <c r="AB39" i="4" s="1"/>
  <c r="BI41" i="4"/>
  <c r="AC41" i="4" s="1"/>
  <c r="AW47" i="4"/>
  <c r="AX49" i="4"/>
  <c r="BC53" i="4"/>
  <c r="AW60" i="4"/>
  <c r="AX63" i="4"/>
  <c r="AV63" i="4" s="1"/>
  <c r="AW69" i="4"/>
  <c r="AX70" i="4"/>
  <c r="AV70" i="4" s="1"/>
  <c r="BC72" i="4"/>
  <c r="BI72" i="4"/>
  <c r="AE72" i="4" s="1"/>
  <c r="C17" i="2" s="1"/>
  <c r="BI78" i="4"/>
  <c r="AX13" i="4"/>
  <c r="AW20" i="4"/>
  <c r="AX21" i="4"/>
  <c r="AW33" i="4"/>
  <c r="AX38" i="4"/>
  <c r="AW44" i="4"/>
  <c r="AX47" i="4"/>
  <c r="AL56" i="4"/>
  <c r="AU52" i="4" s="1"/>
  <c r="AW56" i="4"/>
  <c r="AX60" i="4"/>
  <c r="AL67" i="4"/>
  <c r="AU65" i="4" s="1"/>
  <c r="AW67" i="4"/>
  <c r="AX69" i="4"/>
  <c r="AW78" i="4"/>
  <c r="G24" i="1" l="1"/>
  <c r="BC41" i="4"/>
  <c r="BC15" i="4"/>
  <c r="BC66" i="4"/>
  <c r="C15" i="2"/>
  <c r="C22" i="2" s="1"/>
  <c r="C29" i="2"/>
  <c r="AV78" i="4"/>
  <c r="BC78" i="4"/>
  <c r="BC44" i="4"/>
  <c r="AV44" i="4"/>
  <c r="AV47" i="4"/>
  <c r="BC47" i="4"/>
  <c r="BC56" i="4"/>
  <c r="AV56" i="4"/>
  <c r="AV60" i="4"/>
  <c r="BC60" i="4"/>
  <c r="AV38" i="4"/>
  <c r="BC38" i="4"/>
  <c r="BC63" i="4"/>
  <c r="BC39" i="4"/>
  <c r="BC70" i="4"/>
  <c r="AV49" i="4"/>
  <c r="BC49" i="4"/>
  <c r="BC20" i="4"/>
  <c r="AV20" i="4"/>
  <c r="AV13" i="4"/>
  <c r="BC13" i="4"/>
  <c r="BC67" i="4"/>
  <c r="AV67" i="4"/>
  <c r="BC33" i="4"/>
  <c r="AV33" i="4"/>
  <c r="AV69" i="4"/>
  <c r="BC69" i="4"/>
  <c r="AV21" i="4"/>
  <c r="BC21" i="4"/>
  <c r="I79" i="4"/>
  <c r="F29" i="2" l="1"/>
  <c r="I28" i="2"/>
  <c r="I29" i="2" l="1"/>
</calcChain>
</file>

<file path=xl/sharedStrings.xml><?xml version="1.0" encoding="utf-8"?>
<sst xmlns="http://schemas.openxmlformats.org/spreadsheetml/2006/main" count="760" uniqueCount="266">
  <si>
    <t>Slepý stavební rozpočet - rekapitulace</t>
  </si>
  <si>
    <t>Název stavby:</t>
  </si>
  <si>
    <t>Doba výstavby:</t>
  </si>
  <si>
    <t xml:space="preserve"> </t>
  </si>
  <si>
    <t>Objednatel:</t>
  </si>
  <si>
    <t>Druh stavby:</t>
  </si>
  <si>
    <t>Začátek výstavby:</t>
  </si>
  <si>
    <t>29.06.2024</t>
  </si>
  <si>
    <t>Projektant:</t>
  </si>
  <si>
    <t>Lokalita:</t>
  </si>
  <si>
    <t>Konec výstavby:</t>
  </si>
  <si>
    <t>Zhotovitel:</t>
  </si>
  <si>
    <t>Zpracoval:</t>
  </si>
  <si>
    <t>Zpracováno dne:</t>
  </si>
  <si>
    <t>Objekt</t>
  </si>
  <si>
    <t>Kód</t>
  </si>
  <si>
    <t>Zkrácený popis</t>
  </si>
  <si>
    <t>Náklady (Kč) - celkem</t>
  </si>
  <si>
    <t/>
  </si>
  <si>
    <t>21</t>
  </si>
  <si>
    <t>Úprava podloží a základové spáry</t>
  </si>
  <si>
    <t>T</t>
  </si>
  <si>
    <t>31</t>
  </si>
  <si>
    <t>Zdi podpěrné a volné</t>
  </si>
  <si>
    <t>34</t>
  </si>
  <si>
    <t>Stěny a příčky</t>
  </si>
  <si>
    <t>38</t>
  </si>
  <si>
    <t>Různé kompletní konstrukce nedělitelné do stav. dílů</t>
  </si>
  <si>
    <t>60</t>
  </si>
  <si>
    <t>Omítky ze suchých směsí</t>
  </si>
  <si>
    <t>95</t>
  </si>
  <si>
    <t>Různé dokončovací konstrukce a práce na pozemních stavbách</t>
  </si>
  <si>
    <t>96</t>
  </si>
  <si>
    <t>Bourání konstrukcí</t>
  </si>
  <si>
    <t>93</t>
  </si>
  <si>
    <t>Různé dokončovací konstrukce a práce inženýrských staveb</t>
  </si>
  <si>
    <t>97</t>
  </si>
  <si>
    <t>Prorážení otvorů a ostatní bourací práce</t>
  </si>
  <si>
    <t>S</t>
  </si>
  <si>
    <t>Přesuny sutí</t>
  </si>
  <si>
    <t>783</t>
  </si>
  <si>
    <t>Nátěry</t>
  </si>
  <si>
    <t>VORN</t>
  </si>
  <si>
    <t>Vedlejší a ostatní rozpočtové náklady</t>
  </si>
  <si>
    <t>F</t>
  </si>
  <si>
    <t>07VRN</t>
  </si>
  <si>
    <t>Provozní vlivy</t>
  </si>
  <si>
    <t>Celkem:</t>
  </si>
  <si>
    <t>Krycí list slepého rozpočtu</t>
  </si>
  <si>
    <t>IČO/DIČ:</t>
  </si>
  <si>
    <t>Položek:</t>
  </si>
  <si>
    <t>JKSO: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</si>
  <si>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</si>
  <si>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</si>
  <si>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</si>
  <si>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</si>
  <si>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</si>
  <si>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</si>
  <si>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</si>
  <si>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</si>
  <si>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</si>
  <si>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</si>
  <si>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</si>
  <si>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</si>
  <si>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</si>
  <si>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</si>
  <si>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</si>
  <si>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</si>
  <si>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</si>
  <si>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</si>
  <si>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</si>
  <si>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</si>
  <si>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</si>
  <si>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</si>
  <si>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</si>
  <si>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</si>
  <si>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</si>
  <si>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</si>
  <si>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</si>
  <si>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</si>
  <si>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</si>
  <si>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</si>
  <si>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</si>
  <si>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</si>
  <si>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</si>
  <si>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</si>
  <si>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</si>
  <si>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</si>
  <si>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</si>
  <si>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</si>
  <si>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</si>
  <si>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</si>
  <si>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</si>
  <si>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</si>
  <si>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</si>
  <si>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</si>
  <si>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</si>
  <si>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</si>
  <si>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</si>
  <si>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</si>
  <si>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</si>
  <si>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</si>
  <si>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</si>
  <si>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</si>
  <si>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Průzkumy, geodetické a projektové práce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</si>
  <si>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</si>
  <si>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</si>
  <si>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</si>
  <si>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</si>
  <si>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</si>
  <si>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</si>
  <si>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</si>
  <si>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Slepý stavební rozpočet</t>
  </si>
  <si>
    <t>24104 Bruntál, ul. Šrámkova, oprava zídky kolem hřiště</t>
  </si>
  <si>
    <t> </t>
  </si>
  <si>
    <t>Č</t>
  </si>
  <si>
    <t>Zkrácený popis / Varianta</t>
  </si>
  <si>
    <t>MJ</t>
  </si>
  <si>
    <t>Množství</t>
  </si>
  <si>
    <t>Cena/MJ</t>
  </si>
  <si>
    <t>Náklady (Kč)</t>
  </si>
  <si>
    <t>ISWORK</t>
  </si>
  <si>
    <t>GROUPCODE</t>
  </si>
  <si>
    <t>VATTAX</t>
  </si>
  <si>
    <t>Rozměry</t>
  </si>
  <si>
    <t>(Kč)</t>
  </si>
  <si>
    <t>Celkem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</si>
  <si>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</si>
  <si>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</si>
  <si>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</si>
  <si>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</si>
  <si>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</si>
  <si>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</si>
  <si>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</si>
  <si>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</si>
  <si>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</si>
  <si>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</si>
  <si>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</si>
  <si>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</si>
  <si>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</si>
  <si>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216904112R00</t>
  </si>
  <si>
    <t>Očištění tlakovou vodou zdiva stěn a rubu kleneb</t>
  </si>
  <si>
    <t>m2</t>
  </si>
  <si>
    <t>21_</t>
  </si>
  <si>
    <t>2_</t>
  </si>
  <si>
    <t>_</t>
  </si>
  <si>
    <t>2</t>
  </si>
  <si>
    <t>317321020R00</t>
  </si>
  <si>
    <t>Římsy zdí a valů z betonu železového C 30/37</t>
  </si>
  <si>
    <t>m3</t>
  </si>
  <si>
    <t>31_</t>
  </si>
  <si>
    <t>3_</t>
  </si>
  <si>
    <t>(23,4*0,8+6,0*0,8)*0,1</t>
  </si>
  <si>
    <t>3</t>
  </si>
  <si>
    <t>317351105R00</t>
  </si>
  <si>
    <t>Bednění říms - zřízení</t>
  </si>
  <si>
    <t>(23,4+6,0)*0,1*2</t>
  </si>
  <si>
    <t>0,8*0,1*2</t>
  </si>
  <si>
    <t>4</t>
  </si>
  <si>
    <t>317351106R00</t>
  </si>
  <si>
    <t>Bednění říms - odstranění</t>
  </si>
  <si>
    <t>5</t>
  </si>
  <si>
    <t>317361921RT4</t>
  </si>
  <si>
    <t>Výztuž překladů a říms ze svařovaných sítí</t>
  </si>
  <si>
    <t>t</t>
  </si>
  <si>
    <t>Varianta:</t>
  </si>
  <si>
    <t>KH 30, drát d 6,0 mm, oko 100 x 100 mm</t>
  </si>
  <si>
    <t>(23,4+6,0)*0,8*4,4*0,001</t>
  </si>
  <si>
    <t>6</t>
  </si>
  <si>
    <t>319211311RT1</t>
  </si>
  <si>
    <t>Vytmelení zdiva těsnicí maltou, spotř.do 10 kg/m2</t>
  </si>
  <si>
    <t>22,6*0,95</t>
  </si>
  <si>
    <t>(0,5+0,9)/2*6,0</t>
  </si>
  <si>
    <t>7</t>
  </si>
  <si>
    <t>341361821R00</t>
  </si>
  <si>
    <t>Výztuž stěn a příček z betonářské oceli B500B (10 505)</t>
  </si>
  <si>
    <t>34_</t>
  </si>
  <si>
    <t>kotvící trny pro římsu</t>
  </si>
  <si>
    <t>0,3*60*0,888*0,001</t>
  </si>
  <si>
    <t>8</t>
  </si>
  <si>
    <t>380941215RS3</t>
  </si>
  <si>
    <t>Výztuž helikální 1x d 12 mm, drážka, železobeton</t>
  </si>
  <si>
    <t>m</t>
  </si>
  <si>
    <t>38_</t>
  </si>
  <si>
    <t>výztuž STATIbar, pevnost v tahu 1338 MPa</t>
  </si>
  <si>
    <t>spáry nižší zídky</t>
  </si>
  <si>
    <t>9</t>
  </si>
  <si>
    <t>602033191R00</t>
  </si>
  <si>
    <t>Penetrační vápenný nátěr stěn webercal</t>
  </si>
  <si>
    <t>60_</t>
  </si>
  <si>
    <t>6_</t>
  </si>
  <si>
    <t>10</t>
  </si>
  <si>
    <t>602015133RT3</t>
  </si>
  <si>
    <t>Omítka stěn jednovrstvá weber ručně</t>
  </si>
  <si>
    <t>11</t>
  </si>
  <si>
    <t>602015173R00</t>
  </si>
  <si>
    <t>Štuk vnější weber pro sjednocení</t>
  </si>
  <si>
    <t>malta SV tl. 1mm</t>
  </si>
  <si>
    <t>12</t>
  </si>
  <si>
    <t>953981103R00</t>
  </si>
  <si>
    <t>Chemické kotvy do betonu, hl. 110 mm, M 12, ampule</t>
  </si>
  <si>
    <t>kus</t>
  </si>
  <si>
    <t>95_</t>
  </si>
  <si>
    <t>9_</t>
  </si>
  <si>
    <t>kotvení římsy do původní stěny</t>
  </si>
  <si>
    <t>13</t>
  </si>
  <si>
    <t>999281105R00</t>
  </si>
  <si>
    <t>Přesun hmot pro opravy a údržbu do výšky 6 m</t>
  </si>
  <si>
    <t>14</t>
  </si>
  <si>
    <t>967042712R00</t>
  </si>
  <si>
    <t>Odsekání zdiva plošné z kamene, betonu tl. 10 cm</t>
  </si>
  <si>
    <t>96_</t>
  </si>
  <si>
    <t>hlava horní zídky</t>
  </si>
  <si>
    <t>23,40*0,8</t>
  </si>
  <si>
    <t>15</t>
  </si>
  <si>
    <t>938909611R00</t>
  </si>
  <si>
    <t>Odstranění nánosu  tl. do 10 cm</t>
  </si>
  <si>
    <t>93_</t>
  </si>
  <si>
    <t>v přechodech vodorovné a svislé stěny</t>
  </si>
  <si>
    <t>(22,0+6,0)*0,3</t>
  </si>
  <si>
    <t>16</t>
  </si>
  <si>
    <t>938909612R00</t>
  </si>
  <si>
    <t>Odstranění nánosu tl. do 20 cm</t>
  </si>
  <si>
    <t>na horní zdi</t>
  </si>
  <si>
    <t>23,4*0,5</t>
  </si>
  <si>
    <t>17</t>
  </si>
  <si>
    <t>978015291R00</t>
  </si>
  <si>
    <t>Otlučení omítek vnějších MVC v složit.1-4 do 100 %</t>
  </si>
  <si>
    <t>97_</t>
  </si>
  <si>
    <t>18</t>
  </si>
  <si>
    <t>978023251R00</t>
  </si>
  <si>
    <t>Vysekání a úprava spár zdiva beton</t>
  </si>
  <si>
    <t>(0,9+0,5)/2*6,0</t>
  </si>
  <si>
    <t>19</t>
  </si>
  <si>
    <t>979081111R00</t>
  </si>
  <si>
    <t>Odvoz suti a vybour. hmot na skládku do 1 km</t>
  </si>
  <si>
    <t>S_</t>
  </si>
  <si>
    <t>20</t>
  </si>
  <si>
    <t>979081121R00</t>
  </si>
  <si>
    <t>Příplatek k odvozu za každý další 1 km</t>
  </si>
  <si>
    <t>11,6165*3</t>
  </si>
  <si>
    <t>979082111R00</t>
  </si>
  <si>
    <t>Vnitrostaveništní doprava suti do 10 m</t>
  </si>
  <si>
    <t>22</t>
  </si>
  <si>
    <t>979990107R00</t>
  </si>
  <si>
    <t>Poplatek za uložení suti - směs betonu, cihel, dřeva, skupina odpadu 170904</t>
  </si>
  <si>
    <t>23</t>
  </si>
  <si>
    <t>783897123R00</t>
  </si>
  <si>
    <t>Nátěr bet. povrchů vodoodpudivý Webertec SHC 1x</t>
  </si>
  <si>
    <t>783_</t>
  </si>
  <si>
    <t>78_</t>
  </si>
  <si>
    <t>(23,4+6,0)*0,8</t>
  </si>
  <si>
    <t>6,0*(0,9+0,5)/2</t>
  </si>
  <si>
    <t>24</t>
  </si>
  <si>
    <t>079002VRN</t>
  </si>
  <si>
    <t>Ostatní provozní vlivy - přechodné dopravní značení</t>
  </si>
  <si>
    <t>Soubor</t>
  </si>
  <si>
    <t>99</t>
  </si>
  <si>
    <t>07VRN_</t>
  </si>
  <si>
    <t>Â _</t>
  </si>
  <si>
    <t xml:space="preserve">sanační maltou </t>
  </si>
  <si>
    <t xml:space="preserve">Penetrační vápenný nátěr stěn </t>
  </si>
  <si>
    <t>Omítka stěn jednovrstvá natažená ručně</t>
  </si>
  <si>
    <t>malta  tl. 3-4 mm</t>
  </si>
  <si>
    <t>Štuk vnější pro sjednocení</t>
  </si>
  <si>
    <t>Nátěr bet. povrchů vodoodpudivý 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</si>
</sst>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left" vertical="center"/>
    </xf>
    <xf numFmtId="0" fontId="2" fillId="0" borderId="16" xfId="0" applyNumberFormat="1" applyFont="1" applyFill="1" applyBorder="1" applyAlignment="1" applyProtection="1">
      <alignment horizontal="left" vertical="center"/>
    </xf>
    <xf numFmtId="4" fontId="2" fillId="0" borderId="16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2" fillId="0" borderId="17" xfId="0" applyNumberFormat="1" applyFont="1" applyFill="1" applyBorder="1" applyAlignment="1" applyProtection="1">
      <alignment horizontal="left" vertical="center"/>
    </xf>
    <xf numFmtId="0" fontId="5" fillId="2" borderId="20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7" fillId="0" borderId="24" xfId="0" applyNumberFormat="1" applyFont="1" applyFill="1" applyBorder="1" applyAlignment="1" applyProtection="1">
      <alignment horizontal="left" vertical="center"/>
    </xf>
    <xf numFmtId="0" fontId="8" fillId="0" borderId="25" xfId="0" applyNumberFormat="1" applyFont="1" applyFill="1" applyBorder="1" applyAlignment="1" applyProtection="1">
      <alignment horizontal="left" vertical="center"/>
    </xf>
    <xf numFmtId="4" fontId="8" fillId="0" borderId="25" xfId="0" applyNumberFormat="1" applyFont="1" applyFill="1" applyBorder="1" applyAlignment="1" applyProtection="1">
      <alignment horizontal="right" vertical="center"/>
    </xf>
    <xf numFmtId="0" fontId="8" fillId="0" borderId="25" xfId="0" applyNumberFormat="1" applyFont="1" applyFill="1" applyBorder="1" applyAlignment="1" applyProtection="1">
      <alignment horizontal="right" vertical="center"/>
    </xf>
    <xf numFmtId="0" fontId="7" fillId="0" borderId="28" xfId="0" applyNumberFormat="1" applyFont="1" applyFill="1" applyBorder="1" applyAlignment="1" applyProtection="1">
      <alignment horizontal="left" vertical="center"/>
    </xf>
    <xf numFmtId="4" fontId="8" fillId="0" borderId="32" xfId="0" applyNumberFormat="1" applyFont="1" applyFill="1" applyBorder="1" applyAlignment="1" applyProtection="1">
      <alignment horizontal="right" vertical="center"/>
    </xf>
    <xf numFmtId="0" fontId="8" fillId="0" borderId="32" xfId="0" applyNumberFormat="1" applyFont="1" applyFill="1" applyBorder="1" applyAlignment="1" applyProtection="1">
      <alignment horizontal="right" vertical="center"/>
    </xf>
    <xf numFmtId="4" fontId="8" fillId="0" borderId="23" xfId="0" applyNumberFormat="1" applyFont="1" applyFill="1" applyBorder="1" applyAlignment="1" applyProtection="1">
      <alignment horizontal="right" vertical="center"/>
    </xf>
    <xf numFmtId="4" fontId="8" fillId="0" borderId="35" xfId="0" applyNumberFormat="1" applyFont="1" applyFill="1" applyBorder="1" applyAlignment="1" applyProtection="1">
      <alignment horizontal="right" vertical="center"/>
    </xf>
    <xf numFmtId="4" fontId="7" fillId="2" borderId="22" xfId="0" applyNumberFormat="1" applyFont="1" applyFill="1" applyBorder="1" applyAlignment="1" applyProtection="1">
      <alignment horizontal="right" vertical="center"/>
    </xf>
    <xf numFmtId="4" fontId="7" fillId="2" borderId="27" xfId="0" applyNumberFormat="1" applyFont="1" applyFill="1" applyBorder="1" applyAlignment="1" applyProtection="1">
      <alignment horizontal="right" vertical="center"/>
    </xf>
    <xf numFmtId="0" fontId="9" fillId="0" borderId="16" xfId="0" applyNumberFormat="1" applyFont="1" applyFill="1" applyBorder="1" applyAlignment="1" applyProtection="1">
      <alignment horizontal="left" vertical="center"/>
    </xf>
    <xf numFmtId="0" fontId="3" fillId="0" borderId="52" xfId="0" applyNumberFormat="1" applyFont="1" applyFill="1" applyBorder="1" applyAlignment="1" applyProtection="1">
      <alignment horizontal="right" vertical="center"/>
    </xf>
    <xf numFmtId="4" fontId="2" fillId="0" borderId="25" xfId="0" applyNumberFormat="1" applyFont="1" applyFill="1" applyBorder="1" applyAlignment="1" applyProtection="1">
      <alignment horizontal="right" vertical="center"/>
    </xf>
    <xf numFmtId="0" fontId="2" fillId="0" borderId="25" xfId="0" applyNumberFormat="1" applyFont="1" applyFill="1" applyBorder="1" applyAlignment="1" applyProtection="1">
      <alignment horizontal="left" vertical="center"/>
    </xf>
    <xf numFmtId="4" fontId="2" fillId="0" borderId="56" xfId="0" applyNumberFormat="1" applyFont="1" applyFill="1" applyBorder="1" applyAlignment="1" applyProtection="1">
      <alignment horizontal="right" vertical="center"/>
    </xf>
    <xf numFmtId="0" fontId="2" fillId="0" borderId="56" xfId="0" applyNumberFormat="1" applyFont="1" applyFill="1" applyBorder="1" applyAlignment="1" applyProtection="1">
      <alignment horizontal="left" vertical="center"/>
    </xf>
    <xf numFmtId="0" fontId="3" fillId="0" borderId="60" xfId="0" applyNumberFormat="1" applyFont="1" applyFill="1" applyBorder="1" applyAlignment="1" applyProtection="1">
      <alignment horizontal="left" vertical="center"/>
    </xf>
    <xf numFmtId="0" fontId="3" fillId="0" borderId="60" xfId="0" applyNumberFormat="1" applyFont="1" applyFill="1" applyBorder="1" applyAlignment="1" applyProtection="1">
      <alignment horizontal="right" vertical="center"/>
    </xf>
    <xf numFmtId="4" fontId="3" fillId="0" borderId="60" xfId="0" applyNumberFormat="1" applyFont="1" applyFill="1" applyBorder="1" applyAlignment="1" applyProtection="1">
      <alignment horizontal="right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0" fontId="3" fillId="0" borderId="62" xfId="0" applyNumberFormat="1" applyFont="1" applyFill="1" applyBorder="1" applyAlignment="1" applyProtection="1">
      <alignment horizontal="left" vertical="center"/>
    </xf>
    <xf numFmtId="0" fontId="3" fillId="0" borderId="63" xfId="0" applyNumberFormat="1" applyFont="1" applyFill="1" applyBorder="1" applyAlignment="1" applyProtection="1">
      <alignment horizontal="left" vertical="center"/>
    </xf>
    <xf numFmtId="0" fontId="3" fillId="0" borderId="63" xfId="0" applyNumberFormat="1" applyFont="1" applyFill="1" applyBorder="1" applyAlignment="1" applyProtection="1">
      <alignment horizontal="center" vertical="center"/>
    </xf>
    <xf numFmtId="0" fontId="3" fillId="0" borderId="66" xfId="0" applyNumberFormat="1" applyFont="1" applyFill="1" applyBorder="1" applyAlignment="1" applyProtection="1">
      <alignment horizontal="center" vertical="center"/>
    </xf>
    <xf numFmtId="0" fontId="3" fillId="0" borderId="67" xfId="0" applyNumberFormat="1" applyFont="1" applyFill="1" applyBorder="1" applyAlignment="1" applyProtection="1">
      <alignment horizontal="center" vertical="center"/>
    </xf>
    <xf numFmtId="0" fontId="0" fillId="0" borderId="68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2" fillId="0" borderId="69" xfId="0" applyNumberFormat="1" applyFont="1" applyFill="1" applyBorder="1" applyAlignment="1" applyProtection="1">
      <alignment horizontal="left" vertical="center"/>
    </xf>
    <xf numFmtId="0" fontId="2" fillId="0" borderId="70" xfId="0" applyNumberFormat="1" applyFont="1" applyFill="1" applyBorder="1" applyAlignment="1" applyProtection="1">
      <alignment horizontal="left" vertical="center"/>
    </xf>
    <xf numFmtId="0" fontId="3" fillId="0" borderId="70" xfId="0" applyNumberFormat="1" applyFont="1" applyFill="1" applyBorder="1" applyAlignment="1" applyProtection="1">
      <alignment horizontal="center" vertical="center"/>
    </xf>
    <xf numFmtId="0" fontId="3" fillId="0" borderId="73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/>
    <xf numFmtId="0" fontId="2" fillId="2" borderId="15" xfId="0" applyNumberFormat="1" applyFont="1" applyFill="1" applyBorder="1" applyAlignment="1" applyProtection="1">
      <alignment horizontal="left" vertical="center"/>
    </xf>
    <xf numFmtId="0" fontId="3" fillId="2" borderId="16" xfId="0" applyNumberFormat="1" applyFont="1" applyFill="1" applyBorder="1" applyAlignment="1" applyProtection="1">
      <alignment horizontal="left" vertical="center"/>
    </xf>
    <xf numFmtId="0" fontId="2" fillId="2" borderId="16" xfId="0" applyNumberFormat="1" applyFont="1" applyFill="1" applyBorder="1" applyAlignment="1" applyProtection="1">
      <alignment horizontal="left" vertical="center"/>
    </xf>
    <xf numFmtId="4" fontId="3" fillId="2" borderId="1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vertical="center"/>
    </xf>
    <xf numFmtId="4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9" xfId="0" applyNumberFormat="1" applyFont="1" applyFill="1" applyBorder="1" applyAlignment="1" applyProtection="1"/>
    <xf numFmtId="0" fontId="0" fillId="0" borderId="18" xfId="0" applyNumberFormat="1" applyFont="1" applyFill="1" applyBorder="1" applyAlignment="1" applyProtection="1"/>
    <xf numFmtId="4" fontId="3" fillId="0" borderId="74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8" fillId="0" borderId="41" xfId="0" applyNumberFormat="1" applyFont="1" applyFill="1" applyBorder="1" applyAlignment="1" applyProtection="1">
      <alignment horizontal="left" vertical="center"/>
    </xf>
    <xf numFmtId="0" fontId="8" fillId="0" borderId="39" xfId="0" applyNumberFormat="1" applyFont="1" applyFill="1" applyBorder="1" applyAlignment="1" applyProtection="1">
      <alignment horizontal="left" vertical="center"/>
    </xf>
    <xf numFmtId="0" fontId="8" fillId="0" borderId="40" xfId="0" applyNumberFormat="1" applyFont="1" applyFill="1" applyBorder="1" applyAlignment="1" applyProtection="1">
      <alignment horizontal="left" vertical="center"/>
    </xf>
    <xf numFmtId="0" fontId="8" fillId="0" borderId="44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43" xfId="0" applyNumberFormat="1" applyFont="1" applyFill="1" applyBorder="1" applyAlignment="1" applyProtection="1">
      <alignment horizontal="left" vertical="center"/>
    </xf>
    <xf numFmtId="0" fontId="8" fillId="0" borderId="48" xfId="0" applyNumberFormat="1" applyFont="1" applyFill="1" applyBorder="1" applyAlignment="1" applyProtection="1">
      <alignment horizontal="left" vertical="center"/>
    </xf>
    <xf numFmtId="0" fontId="8" fillId="0" borderId="46" xfId="0" applyNumberFormat="1" applyFont="1" applyFill="1" applyBorder="1" applyAlignment="1" applyProtection="1">
      <alignment horizontal="left" vertical="center"/>
    </xf>
    <xf numFmtId="0" fontId="8" fillId="0" borderId="47" xfId="0" applyNumberFormat="1" applyFont="1" applyFill="1" applyBorder="1" applyAlignment="1" applyProtection="1">
      <alignment horizontal="left" vertical="center"/>
    </xf>
    <xf numFmtId="0" fontId="8" fillId="0" borderId="38" xfId="0" applyNumberFormat="1" applyFont="1" applyFill="1" applyBorder="1" applyAlignment="1" applyProtection="1">
      <alignment horizontal="left" vertical="center"/>
    </xf>
    <xf numFmtId="0" fontId="8" fillId="0" borderId="42" xfId="0" applyNumberFormat="1" applyFont="1" applyFill="1" applyBorder="1" applyAlignment="1" applyProtection="1">
      <alignment horizontal="left" vertical="center"/>
    </xf>
    <xf numFmtId="0" fontId="8" fillId="0" borderId="45" xfId="0" applyNumberFormat="1" applyFont="1" applyFill="1" applyBorder="1" applyAlignment="1" applyProtection="1">
      <alignment horizontal="left" vertical="center"/>
    </xf>
    <xf numFmtId="0" fontId="7" fillId="0" borderId="29" xfId="0" applyNumberFormat="1" applyFont="1" applyFill="1" applyBorder="1" applyAlignment="1" applyProtection="1">
      <alignment horizontal="left" vertical="center"/>
    </xf>
    <xf numFmtId="0" fontId="7" fillId="0" borderId="27" xfId="0" applyNumberFormat="1" applyFont="1" applyFill="1" applyBorder="1" applyAlignment="1" applyProtection="1">
      <alignment horizontal="left" vertical="center"/>
    </xf>
    <xf numFmtId="0" fontId="7" fillId="2" borderId="34" xfId="0" applyNumberFormat="1" applyFont="1" applyFill="1" applyBorder="1" applyAlignment="1" applyProtection="1">
      <alignment horizontal="left" vertical="center"/>
    </xf>
    <xf numFmtId="0" fontId="7" fillId="2" borderId="36" xfId="0" applyNumberFormat="1" applyFont="1" applyFill="1" applyBorder="1" applyAlignment="1" applyProtection="1">
      <alignment horizontal="left" vertical="center"/>
    </xf>
    <xf numFmtId="0" fontId="7" fillId="2" borderId="29" xfId="0" applyNumberFormat="1" applyFont="1" applyFill="1" applyBorder="1" applyAlignment="1" applyProtection="1">
      <alignment horizontal="left" vertical="center"/>
    </xf>
    <xf numFmtId="0" fontId="7" fillId="2" borderId="37" xfId="0" applyNumberFormat="1" applyFont="1" applyFill="1" applyBorder="1" applyAlignment="1" applyProtection="1">
      <alignment horizontal="left" vertical="center"/>
    </xf>
    <xf numFmtId="0" fontId="7" fillId="2" borderId="21" xfId="0" applyNumberFormat="1" applyFont="1" applyFill="1" applyBorder="1" applyAlignment="1" applyProtection="1">
      <alignment horizontal="left" vertical="center"/>
    </xf>
    <xf numFmtId="0" fontId="7" fillId="2" borderId="26" xfId="0" applyNumberFormat="1" applyFont="1" applyFill="1" applyBorder="1" applyAlignment="1" applyProtection="1">
      <alignment horizontal="left" vertical="center"/>
    </xf>
    <xf numFmtId="0" fontId="8" fillId="0" borderId="26" xfId="0" applyNumberFormat="1" applyFont="1" applyFill="1" applyBorder="1" applyAlignment="1" applyProtection="1">
      <alignment horizontal="left" vertical="center"/>
    </xf>
    <xf numFmtId="0" fontId="8" fillId="0" borderId="27" xfId="0" applyNumberFormat="1" applyFont="1" applyFill="1" applyBorder="1" applyAlignment="1" applyProtection="1">
      <alignment horizontal="left" vertical="center"/>
    </xf>
    <xf numFmtId="0" fontId="8" fillId="0" borderId="33" xfId="0" applyNumberFormat="1" applyFont="1" applyFill="1" applyBorder="1" applyAlignment="1" applyProtection="1">
      <alignment horizontal="left" vertical="center"/>
    </xf>
    <xf numFmtId="0" fontId="8" fillId="0" borderId="31" xfId="0" applyNumberFormat="1" applyFont="1" applyFill="1" applyBorder="1" applyAlignment="1" applyProtection="1">
      <alignment horizontal="left" vertical="center"/>
    </xf>
    <xf numFmtId="0" fontId="7" fillId="0" borderId="21" xfId="0" applyNumberFormat="1" applyFont="1" applyFill="1" applyBorder="1" applyAlignment="1" applyProtection="1">
      <alignment horizontal="left" vertical="center"/>
    </xf>
    <xf numFmtId="0" fontId="7" fillId="0" borderId="22" xfId="0" applyNumberFormat="1" applyFont="1" applyFill="1" applyBorder="1" applyAlignment="1" applyProtection="1">
      <alignment horizontal="left" vertical="center"/>
    </xf>
    <xf numFmtId="0" fontId="7" fillId="0" borderId="26" xfId="0" applyNumberFormat="1" applyFont="1" applyFill="1" applyBorder="1" applyAlignment="1" applyProtection="1">
      <alignment horizontal="left" vertical="center"/>
    </xf>
    <xf numFmtId="0" fontId="7" fillId="0" borderId="30" xfId="0" applyNumberFormat="1" applyFont="1" applyFill="1" applyBorder="1" applyAlignment="1" applyProtection="1">
      <alignment horizontal="left" vertical="center"/>
    </xf>
    <xf numFmtId="0" fontId="7" fillId="0" borderId="31" xfId="0" applyNumberFormat="1" applyFont="1" applyFill="1" applyBorder="1" applyAlignment="1" applyProtection="1">
      <alignment horizontal="left" vertical="center"/>
    </xf>
    <xf numFmtId="0" fontId="7" fillId="0" borderId="34" xfId="0" applyNumberFormat="1" applyFont="1" applyFill="1" applyBorder="1" applyAlignment="1" applyProtection="1">
      <alignment horizontal="left" vertical="center"/>
    </xf>
    <xf numFmtId="0" fontId="2" fillId="0" borderId="18" xfId="0" applyNumberFormat="1" applyFont="1" applyFill="1" applyBorder="1" applyAlignment="1" applyProtection="1">
      <alignment horizontal="left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left" vertical="center"/>
    </xf>
    <xf numFmtId="0" fontId="6" fillId="0" borderId="22" xfId="0" applyNumberFormat="1" applyFont="1" applyFill="1" applyBorder="1" applyAlignment="1" applyProtection="1">
      <alignment horizontal="left" vertical="center"/>
    </xf>
    <xf numFmtId="0" fontId="2" fillId="0" borderId="17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center"/>
    </xf>
    <xf numFmtId="1" fontId="2" fillId="0" borderId="6" xfId="0" applyNumberFormat="1" applyFont="1" applyFill="1" applyBorder="1" applyAlignment="1" applyProtection="1">
      <alignment horizontal="left" vertical="center"/>
    </xf>
    <xf numFmtId="0" fontId="2" fillId="0" borderId="29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/>
    </xf>
    <xf numFmtId="0" fontId="2" fillId="0" borderId="53" xfId="0" applyNumberFormat="1" applyFont="1" applyFill="1" applyBorder="1" applyAlignment="1" applyProtection="1">
      <alignment horizontal="left" vertical="center"/>
    </xf>
    <xf numFmtId="0" fontId="2" fillId="0" borderId="54" xfId="0" applyNumberFormat="1" applyFont="1" applyFill="1" applyBorder="1" applyAlignment="1" applyProtection="1">
      <alignment horizontal="left" vertical="center"/>
    </xf>
    <xf numFmtId="0" fontId="2" fillId="0" borderId="55" xfId="0" applyNumberFormat="1" applyFont="1" applyFill="1" applyBorder="1" applyAlignment="1" applyProtection="1">
      <alignment horizontal="left" vertical="center"/>
    </xf>
    <xf numFmtId="0" fontId="3" fillId="0" borderId="57" xfId="0" applyNumberFormat="1" applyFont="1" applyFill="1" applyBorder="1" applyAlignment="1" applyProtection="1">
      <alignment horizontal="left" vertical="center"/>
    </xf>
    <xf numFmtId="0" fontId="3" fillId="0" borderId="58" xfId="0" applyNumberFormat="1" applyFont="1" applyFill="1" applyBorder="1" applyAlignment="1" applyProtection="1">
      <alignment horizontal="left" vertical="center"/>
    </xf>
    <xf numFmtId="0" fontId="3" fillId="0" borderId="59" xfId="0" applyNumberFormat="1" applyFont="1" applyFill="1" applyBorder="1" applyAlignment="1" applyProtection="1">
      <alignment horizontal="left" vertical="center"/>
    </xf>
    <xf numFmtId="0" fontId="7" fillId="0" borderId="57" xfId="0" applyNumberFormat="1" applyFont="1" applyFill="1" applyBorder="1" applyAlignment="1" applyProtection="1">
      <alignment horizontal="left" vertical="center"/>
    </xf>
    <xf numFmtId="0" fontId="7" fillId="0" borderId="58" xfId="0" applyNumberFormat="1" applyFont="1" applyFill="1" applyBorder="1" applyAlignment="1" applyProtection="1">
      <alignment horizontal="left" vertical="center"/>
    </xf>
    <xf numFmtId="0" fontId="7" fillId="0" borderId="59" xfId="0" applyNumberFormat="1" applyFont="1" applyFill="1" applyBorder="1" applyAlignment="1" applyProtection="1">
      <alignment horizontal="left" vertical="center"/>
    </xf>
    <xf numFmtId="4" fontId="7" fillId="0" borderId="61" xfId="0" applyNumberFormat="1" applyFont="1" applyFill="1" applyBorder="1" applyAlignment="1" applyProtection="1">
      <alignment horizontal="right" vertical="center"/>
    </xf>
    <xf numFmtId="0" fontId="7" fillId="0" borderId="58" xfId="0" applyNumberFormat="1" applyFont="1" applyFill="1" applyBorder="1" applyAlignment="1" applyProtection="1">
      <alignment horizontal="right" vertical="center"/>
    </xf>
    <xf numFmtId="0" fontId="7" fillId="0" borderId="59" xfId="0" applyNumberFormat="1" applyFont="1" applyFill="1" applyBorder="1" applyAlignment="1" applyProtection="1">
      <alignment horizontal="right" vertical="center"/>
    </xf>
    <xf numFmtId="0" fontId="7" fillId="0" borderId="8" xfId="0" applyNumberFormat="1" applyFont="1" applyFill="1" applyBorder="1" applyAlignment="1" applyProtection="1">
      <alignment horizontal="left" vertical="center"/>
    </xf>
    <xf numFmtId="0" fontId="3" fillId="0" borderId="49" xfId="0" applyNumberFormat="1" applyFont="1" applyFill="1" applyBorder="1" applyAlignment="1" applyProtection="1">
      <alignment horizontal="left" vertical="center"/>
    </xf>
    <xf numFmtId="0" fontId="3" fillId="0" borderId="50" xfId="0" applyNumberFormat="1" applyFont="1" applyFill="1" applyBorder="1" applyAlignment="1" applyProtection="1">
      <alignment horizontal="left" vertical="center"/>
    </xf>
    <xf numFmtId="0" fontId="3" fillId="0" borderId="51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6" xfId="0" applyNumberFormat="1" applyFont="1" applyFill="1" applyBorder="1" applyAlignment="1" applyProtection="1">
      <alignment horizontal="left" vertical="center"/>
    </xf>
    <xf numFmtId="0" fontId="3" fillId="0" borderId="71" xfId="0" applyNumberFormat="1" applyFont="1" applyFill="1" applyBorder="1" applyAlignment="1" applyProtection="1">
      <alignment horizontal="left" vertical="center"/>
    </xf>
    <xf numFmtId="0" fontId="3" fillId="0" borderId="72" xfId="0" applyNumberFormat="1" applyFont="1" applyFill="1" applyBorder="1" applyAlignment="1" applyProtection="1">
      <alignment horizontal="left" vertical="center"/>
    </xf>
    <xf numFmtId="0" fontId="3" fillId="2" borderId="16" xfId="0" applyNumberFormat="1" applyFont="1" applyFill="1" applyBorder="1" applyAlignment="1" applyProtection="1">
      <alignment horizontal="left" vertical="center" wrapText="1"/>
    </xf>
    <xf numFmtId="0" fontId="3" fillId="2" borderId="16" xfId="0" applyNumberFormat="1" applyFont="1" applyFill="1" applyBorder="1" applyAlignment="1" applyProtection="1">
      <alignment horizontal="left" vertical="center"/>
    </xf>
    <xf numFmtId="0" fontId="3" fillId="0" borderId="64" xfId="0" applyNumberFormat="1" applyFont="1" applyFill="1" applyBorder="1" applyAlignment="1" applyProtection="1">
      <alignment horizontal="left" vertical="center"/>
    </xf>
    <xf numFmtId="0" fontId="3" fillId="0" borderId="65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workbookViewId="0">
      <pane ySplit="11" topLeftCell="A12" activePane="bottomLeft" state="frozen"/>
      <selection pane="bottomLeft" activeCell="C23" sqref="C23:F23"/>
    </sheetView>
  </sheetViews>
  <sheetFormatPr defaultColWidth="12.140625" defaultRowHeight="15" customHeight="1" x14ac:dyDescent="0.25"/>
  <cols>
    <col min="1" max="2" width="8.5703125" customWidth="1"/>
    <col min="3" max="3" width="71.42578125" customWidth="1"/>
    <col min="4" max="6" width="12.140625" customWidth="1"/>
    <col min="7" max="7" width="27.85546875" customWidth="1"/>
    <col min="8" max="9" width="0" hidden="1" customWidth="1"/>
  </cols>
  <sheetData>
    <row r="1" spans="1:9" ht="54.75" customHeight="1" x14ac:dyDescent="0.25">
      <c r="A1" s="78" t="s">
        <v>0</v>
      </c>
      <c r="B1" s="78"/>
      <c r="C1" s="78"/>
      <c r="D1" s="78"/>
      <c r="E1" s="78"/>
      <c r="F1" s="78"/>
      <c r="G1" s="78"/>
    </row>
    <row r="2" spans="1:9" x14ac:dyDescent="0.25">
      <c r="A2" s="79" t="s">
        <v>1</v>
      </c>
      <c r="B2" s="76"/>
      <c r="C2" s="84" t="str">
        <f>'Stavební rozpočet'!D2</f>
        <v>24104 Bruntál, ul. Šrámkova, oprava zídky kolem hřiště</v>
      </c>
      <c r="D2" s="76" t="s">
        <v>2</v>
      </c>
      <c r="E2" s="76" t="s">
        <v>3</v>
      </c>
      <c r="F2" s="83" t="s">
        <v>4</v>
      </c>
      <c r="G2" s="70" t="str">
        <f>'Stavební rozpočet'!J2</f>
        <v> </v>
      </c>
    </row>
    <row r="3" spans="1:9" ht="15" customHeight="1" x14ac:dyDescent="0.25">
      <c r="A3" s="80"/>
      <c r="B3" s="69"/>
      <c r="C3" s="85"/>
      <c r="D3" s="69"/>
      <c r="E3" s="69"/>
      <c r="F3" s="69"/>
      <c r="G3" s="71"/>
    </row>
    <row r="4" spans="1:9" x14ac:dyDescent="0.25">
      <c r="A4" s="81" t="s">
        <v>5</v>
      </c>
      <c r="B4" s="69"/>
      <c r="C4" s="74" t="str">
        <f>'Stavební rozpočet'!D4</f>
        <v xml:space="preserve"> </v>
      </c>
      <c r="D4" s="69" t="s">
        <v>6</v>
      </c>
      <c r="E4" s="69" t="s">
        <v>7</v>
      </c>
      <c r="F4" s="74" t="s">
        <v>8</v>
      </c>
      <c r="G4" s="72" t="str">
        <f>'Stavební rozpočet'!J4</f>
        <v> </v>
      </c>
    </row>
    <row r="5" spans="1:9" ht="15" customHeight="1" x14ac:dyDescent="0.25">
      <c r="A5" s="80"/>
      <c r="B5" s="69"/>
      <c r="C5" s="69"/>
      <c r="D5" s="69"/>
      <c r="E5" s="69"/>
      <c r="F5" s="69"/>
      <c r="G5" s="71"/>
    </row>
    <row r="6" spans="1:9" x14ac:dyDescent="0.25">
      <c r="A6" s="81" t="s">
        <v>9</v>
      </c>
      <c r="B6" s="69"/>
      <c r="C6" s="74" t="str">
        <f>'Stavební rozpočet'!D6</f>
        <v xml:space="preserve"> </v>
      </c>
      <c r="D6" s="69" t="s">
        <v>10</v>
      </c>
      <c r="E6" s="69" t="s">
        <v>3</v>
      </c>
      <c r="F6" s="74" t="s">
        <v>11</v>
      </c>
      <c r="G6" s="72" t="str">
        <f>'Stavební rozpočet'!J6</f>
        <v> </v>
      </c>
    </row>
    <row r="7" spans="1:9" ht="15" customHeight="1" x14ac:dyDescent="0.25">
      <c r="A7" s="80"/>
      <c r="B7" s="69"/>
      <c r="C7" s="69"/>
      <c r="D7" s="69"/>
      <c r="E7" s="69"/>
      <c r="F7" s="69"/>
      <c r="G7" s="71"/>
    </row>
    <row r="8" spans="1:9" x14ac:dyDescent="0.25">
      <c r="A8" s="81" t="s">
        <v>12</v>
      </c>
      <c r="B8" s="69"/>
      <c r="C8" s="74" t="str">
        <f>'Stavební rozpočet'!J8</f>
        <v> </v>
      </c>
      <c r="D8" s="69" t="s">
        <v>13</v>
      </c>
      <c r="E8" s="69" t="s">
        <v>7</v>
      </c>
      <c r="F8" s="69" t="s">
        <v>13</v>
      </c>
      <c r="G8" s="72" t="str">
        <f>'Stavební rozpočet'!H8</f>
        <v>29.06.2024</v>
      </c>
    </row>
    <row r="9" spans="1:9" x14ac:dyDescent="0.25">
      <c r="A9" s="82"/>
      <c r="B9" s="75"/>
      <c r="C9" s="75"/>
      <c r="D9" s="77"/>
      <c r="E9" s="77"/>
      <c r="F9" s="77"/>
      <c r="G9" s="73"/>
    </row>
    <row r="10" spans="1:9" x14ac:dyDescent="0.25">
      <c r="A10" s="6" t="s">
        <v>14</v>
      </c>
      <c r="B10" s="7" t="s">
        <v>15</v>
      </c>
      <c r="C10" s="8" t="s">
        <v>16</v>
      </c>
      <c r="G10" s="9" t="s">
        <v>17</v>
      </c>
    </row>
    <row r="11" spans="1:9" x14ac:dyDescent="0.25">
      <c r="A11" s="10" t="s">
        <v>18</v>
      </c>
      <c r="B11" s="11" t="s">
        <v>19</v>
      </c>
      <c r="C11" s="69" t="s">
        <v>20</v>
      </c>
      <c r="D11" s="69"/>
      <c r="E11" s="69"/>
      <c r="F11" s="69"/>
      <c r="G11" s="12">
        <f>'Stavební rozpočet'!I12</f>
        <v>0</v>
      </c>
      <c r="H11" s="13" t="s">
        <v>21</v>
      </c>
      <c r="I11" s="14">
        <f t="shared" ref="I11:I23" si="0">IF(H11="F",0,G11)</f>
        <v>0</v>
      </c>
    </row>
    <row r="12" spans="1:9" x14ac:dyDescent="0.25">
      <c r="A12" s="1" t="s">
        <v>18</v>
      </c>
      <c r="B12" s="2" t="s">
        <v>22</v>
      </c>
      <c r="C12" s="69" t="s">
        <v>23</v>
      </c>
      <c r="D12" s="69"/>
      <c r="E12" s="69"/>
      <c r="F12" s="69"/>
      <c r="G12" s="14">
        <f>'Stavební rozpočet'!I14</f>
        <v>0</v>
      </c>
      <c r="H12" s="13" t="s">
        <v>21</v>
      </c>
      <c r="I12" s="14">
        <f t="shared" si="0"/>
        <v>0</v>
      </c>
    </row>
    <row r="13" spans="1:9" x14ac:dyDescent="0.25">
      <c r="A13" s="1" t="s">
        <v>18</v>
      </c>
      <c r="B13" s="2" t="s">
        <v>24</v>
      </c>
      <c r="C13" s="69" t="s">
        <v>25</v>
      </c>
      <c r="D13" s="69"/>
      <c r="E13" s="69"/>
      <c r="F13" s="69"/>
      <c r="G13" s="14">
        <f>'Stavební rozpočet'!I28</f>
        <v>0</v>
      </c>
      <c r="H13" s="13" t="s">
        <v>21</v>
      </c>
      <c r="I13" s="14">
        <f t="shared" si="0"/>
        <v>0</v>
      </c>
    </row>
    <row r="14" spans="1:9" x14ac:dyDescent="0.25">
      <c r="A14" s="1" t="s">
        <v>18</v>
      </c>
      <c r="B14" s="2" t="s">
        <v>26</v>
      </c>
      <c r="C14" s="69" t="s">
        <v>27</v>
      </c>
      <c r="D14" s="69"/>
      <c r="E14" s="69"/>
      <c r="F14" s="69"/>
      <c r="G14" s="14">
        <f>'Stavební rozpočet'!I32</f>
        <v>0</v>
      </c>
      <c r="H14" s="13" t="s">
        <v>21</v>
      </c>
      <c r="I14" s="14">
        <f t="shared" si="0"/>
        <v>0</v>
      </c>
    </row>
    <row r="15" spans="1:9" x14ac:dyDescent="0.25">
      <c r="A15" s="1" t="s">
        <v>18</v>
      </c>
      <c r="B15" s="2" t="s">
        <v>28</v>
      </c>
      <c r="C15" s="69" t="s">
        <v>29</v>
      </c>
      <c r="D15" s="69"/>
      <c r="E15" s="69"/>
      <c r="F15" s="69"/>
      <c r="G15" s="14">
        <f>'Stavební rozpočet'!I37</f>
        <v>0</v>
      </c>
      <c r="H15" s="13" t="s">
        <v>21</v>
      </c>
      <c r="I15" s="14">
        <f t="shared" si="0"/>
        <v>0</v>
      </c>
    </row>
    <row r="16" spans="1:9" x14ac:dyDescent="0.25">
      <c r="A16" s="1" t="s">
        <v>18</v>
      </c>
      <c r="B16" s="2" t="s">
        <v>30</v>
      </c>
      <c r="C16" s="69" t="s">
        <v>31</v>
      </c>
      <c r="D16" s="69"/>
      <c r="E16" s="69"/>
      <c r="F16" s="69"/>
      <c r="G16" s="14">
        <f>'Stavební rozpočet'!I43</f>
        <v>0</v>
      </c>
      <c r="H16" s="13" t="s">
        <v>21</v>
      </c>
      <c r="I16" s="14">
        <f t="shared" si="0"/>
        <v>0</v>
      </c>
    </row>
    <row r="17" spans="1:9" x14ac:dyDescent="0.25">
      <c r="A17" s="1" t="s">
        <v>18</v>
      </c>
      <c r="B17" s="2" t="s">
        <v>32</v>
      </c>
      <c r="C17" s="69" t="s">
        <v>33</v>
      </c>
      <c r="D17" s="69"/>
      <c r="E17" s="69"/>
      <c r="F17" s="69"/>
      <c r="G17" s="14">
        <f>'Stavební rozpočet'!I48</f>
        <v>0</v>
      </c>
      <c r="H17" s="13" t="s">
        <v>21</v>
      </c>
      <c r="I17" s="14">
        <f t="shared" si="0"/>
        <v>0</v>
      </c>
    </row>
    <row r="18" spans="1:9" x14ac:dyDescent="0.25">
      <c r="A18" s="1" t="s">
        <v>18</v>
      </c>
      <c r="B18" s="2" t="s">
        <v>34</v>
      </c>
      <c r="C18" s="69" t="s">
        <v>35</v>
      </c>
      <c r="D18" s="69"/>
      <c r="E18" s="69"/>
      <c r="F18" s="69"/>
      <c r="G18" s="14">
        <f>'Stavební rozpočet'!I52</f>
        <v>0</v>
      </c>
      <c r="H18" s="13" t="s">
        <v>21</v>
      </c>
      <c r="I18" s="14">
        <f t="shared" si="0"/>
        <v>0</v>
      </c>
    </row>
    <row r="19" spans="1:9" x14ac:dyDescent="0.25">
      <c r="A19" s="1" t="s">
        <v>18</v>
      </c>
      <c r="B19" s="2" t="s">
        <v>36</v>
      </c>
      <c r="C19" s="69" t="s">
        <v>37</v>
      </c>
      <c r="D19" s="69"/>
      <c r="E19" s="69"/>
      <c r="F19" s="69"/>
      <c r="G19" s="14">
        <f>'Stavební rozpočet'!I59</f>
        <v>0</v>
      </c>
      <c r="H19" s="13" t="s">
        <v>21</v>
      </c>
      <c r="I19" s="14">
        <f t="shared" si="0"/>
        <v>0</v>
      </c>
    </row>
    <row r="20" spans="1:9" x14ac:dyDescent="0.25">
      <c r="A20" s="1" t="s">
        <v>18</v>
      </c>
      <c r="B20" s="2" t="s">
        <v>38</v>
      </c>
      <c r="C20" s="69" t="s">
        <v>39</v>
      </c>
      <c r="D20" s="69"/>
      <c r="E20" s="69"/>
      <c r="F20" s="69"/>
      <c r="G20" s="14">
        <f>'Stavební rozpočet'!I65</f>
        <v>0</v>
      </c>
      <c r="H20" s="13" t="s">
        <v>21</v>
      </c>
      <c r="I20" s="14">
        <f t="shared" si="0"/>
        <v>0</v>
      </c>
    </row>
    <row r="21" spans="1:9" x14ac:dyDescent="0.25">
      <c r="A21" s="1" t="s">
        <v>18</v>
      </c>
      <c r="B21" s="2" t="s">
        <v>40</v>
      </c>
      <c r="C21" s="69" t="s">
        <v>41</v>
      </c>
      <c r="D21" s="69"/>
      <c r="E21" s="69"/>
      <c r="F21" s="69"/>
      <c r="G21" s="14">
        <f>'Stavební rozpočet'!I71</f>
        <v>0</v>
      </c>
      <c r="H21" s="13" t="s">
        <v>21</v>
      </c>
      <c r="I21" s="14">
        <f t="shared" si="0"/>
        <v>0</v>
      </c>
    </row>
    <row r="22" spans="1:9" x14ac:dyDescent="0.25">
      <c r="A22" s="1" t="s">
        <v>18</v>
      </c>
      <c r="B22" s="2" t="s">
        <v>42</v>
      </c>
      <c r="C22" s="69" t="s">
        <v>43</v>
      </c>
      <c r="D22" s="69"/>
      <c r="E22" s="69"/>
      <c r="F22" s="69"/>
      <c r="G22" s="14">
        <f>'Stavební rozpočet'!I76</f>
        <v>0</v>
      </c>
      <c r="H22" s="13" t="s">
        <v>44</v>
      </c>
      <c r="I22" s="14">
        <f t="shared" si="0"/>
        <v>0</v>
      </c>
    </row>
    <row r="23" spans="1:9" x14ac:dyDescent="0.25">
      <c r="A23" s="1" t="s">
        <v>18</v>
      </c>
      <c r="B23" s="2" t="s">
        <v>45</v>
      </c>
      <c r="C23" s="69" t="s">
        <v>46</v>
      </c>
      <c r="D23" s="69"/>
      <c r="E23" s="69"/>
      <c r="F23" s="69"/>
      <c r="G23" s="14">
        <f>'Stavební rozpočet'!I77</f>
        <v>0</v>
      </c>
      <c r="H23" s="13" t="s">
        <v>21</v>
      </c>
      <c r="I23" s="14">
        <f t="shared" si="0"/>
        <v>0</v>
      </c>
    </row>
    <row r="24" spans="1:9" x14ac:dyDescent="0.25">
      <c r="F24" s="3" t="s">
        <v>47</v>
      </c>
      <c r="G24" s="15">
        <f>SUM(I11:I23)</f>
        <v>0</v>
      </c>
    </row>
  </sheetData>
  <mergeCells count="38">
    <mergeCell ref="A1:G1"/>
    <mergeCell ref="A2:B3"/>
    <mergeCell ref="A4:B5"/>
    <mergeCell ref="A6:B7"/>
    <mergeCell ref="A8:B9"/>
    <mergeCell ref="D2:D3"/>
    <mergeCell ref="D4:D5"/>
    <mergeCell ref="D6:D7"/>
    <mergeCell ref="D8:D9"/>
    <mergeCell ref="F2:F3"/>
    <mergeCell ref="F4:F5"/>
    <mergeCell ref="F6:F7"/>
    <mergeCell ref="F8:F9"/>
    <mergeCell ref="C2:C3"/>
    <mergeCell ref="C4:C5"/>
    <mergeCell ref="C6:C7"/>
    <mergeCell ref="G2:G3"/>
    <mergeCell ref="G4:G5"/>
    <mergeCell ref="G6:G7"/>
    <mergeCell ref="G8:G9"/>
    <mergeCell ref="C11:F11"/>
    <mergeCell ref="C8:C9"/>
    <mergeCell ref="E2:E3"/>
    <mergeCell ref="E4:E5"/>
    <mergeCell ref="E6:E7"/>
    <mergeCell ref="E8:E9"/>
    <mergeCell ref="C12:F12"/>
    <mergeCell ref="C13:F13"/>
    <mergeCell ref="C14:F14"/>
    <mergeCell ref="C15:F15"/>
    <mergeCell ref="C16:F16"/>
    <mergeCell ref="C22:F22"/>
    <mergeCell ref="C23:F23"/>
    <mergeCell ref="C17:F17"/>
    <mergeCell ref="C18:F18"/>
    <mergeCell ref="C19:F19"/>
    <mergeCell ref="C20:F20"/>
    <mergeCell ref="C21:F21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opLeftCell="A16"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22" t="s">
        <v>48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79" t="s">
        <v>1</v>
      </c>
      <c r="B2" s="76"/>
      <c r="C2" s="84" t="str">
        <f>'Stavební rozpočet'!D2</f>
        <v>24104 Bruntál, ul. Šrámkova, oprava zídky kolem hřiště</v>
      </c>
      <c r="D2" s="121"/>
      <c r="E2" s="83" t="s">
        <v>4</v>
      </c>
      <c r="F2" s="83" t="str">
        <f>'Stavební rozpočet'!J2</f>
        <v> </v>
      </c>
      <c r="G2" s="76"/>
      <c r="H2" s="83" t="s">
        <v>49</v>
      </c>
      <c r="I2" s="123" t="s">
        <v>18</v>
      </c>
    </row>
    <row r="3" spans="1:9" ht="15" customHeight="1" x14ac:dyDescent="0.25">
      <c r="A3" s="80"/>
      <c r="B3" s="69"/>
      <c r="C3" s="85"/>
      <c r="D3" s="85"/>
      <c r="E3" s="69"/>
      <c r="F3" s="69"/>
      <c r="G3" s="69"/>
      <c r="H3" s="69"/>
      <c r="I3" s="71"/>
    </row>
    <row r="4" spans="1:9" x14ac:dyDescent="0.25">
      <c r="A4" s="81" t="s">
        <v>5</v>
      </c>
      <c r="B4" s="69"/>
      <c r="C4" s="74" t="str">
        <f>'Stavební rozpočet'!D4</f>
        <v xml:space="preserve"> </v>
      </c>
      <c r="D4" s="69"/>
      <c r="E4" s="74" t="s">
        <v>8</v>
      </c>
      <c r="F4" s="74" t="str">
        <f>'Stavební rozpočet'!J4</f>
        <v> </v>
      </c>
      <c r="G4" s="69"/>
      <c r="H4" s="74" t="s">
        <v>49</v>
      </c>
      <c r="I4" s="71" t="s">
        <v>18</v>
      </c>
    </row>
    <row r="5" spans="1:9" ht="15" customHeight="1" x14ac:dyDescent="0.25">
      <c r="A5" s="80"/>
      <c r="B5" s="69"/>
      <c r="C5" s="69"/>
      <c r="D5" s="69"/>
      <c r="E5" s="69"/>
      <c r="F5" s="69"/>
      <c r="G5" s="69"/>
      <c r="H5" s="69"/>
      <c r="I5" s="71"/>
    </row>
    <row r="6" spans="1:9" x14ac:dyDescent="0.25">
      <c r="A6" s="81" t="s">
        <v>9</v>
      </c>
      <c r="B6" s="69"/>
      <c r="C6" s="74" t="str">
        <f>'Stavební rozpočet'!D6</f>
        <v xml:space="preserve"> </v>
      </c>
      <c r="D6" s="69"/>
      <c r="E6" s="74" t="s">
        <v>11</v>
      </c>
      <c r="F6" s="74" t="str">
        <f>'Stavební rozpočet'!J6</f>
        <v> </v>
      </c>
      <c r="G6" s="69"/>
      <c r="H6" s="74" t="s">
        <v>49</v>
      </c>
      <c r="I6" s="71" t="s">
        <v>18</v>
      </c>
    </row>
    <row r="7" spans="1:9" ht="15" customHeight="1" x14ac:dyDescent="0.25">
      <c r="A7" s="80"/>
      <c r="B7" s="69"/>
      <c r="C7" s="69"/>
      <c r="D7" s="69"/>
      <c r="E7" s="69"/>
      <c r="F7" s="69"/>
      <c r="G7" s="69"/>
      <c r="H7" s="69"/>
      <c r="I7" s="71"/>
    </row>
    <row r="8" spans="1:9" x14ac:dyDescent="0.25">
      <c r="A8" s="81" t="s">
        <v>6</v>
      </c>
      <c r="B8" s="69"/>
      <c r="C8" s="74" t="str">
        <f>'Stavební rozpočet'!H4</f>
        <v>29.06.2024</v>
      </c>
      <c r="D8" s="69"/>
      <c r="E8" s="74" t="s">
        <v>10</v>
      </c>
      <c r="F8" s="74" t="str">
        <f>'Stavební rozpočet'!H6</f>
        <v xml:space="preserve"> </v>
      </c>
      <c r="G8" s="69"/>
      <c r="H8" s="69" t="s">
        <v>50</v>
      </c>
      <c r="I8" s="124">
        <v>24</v>
      </c>
    </row>
    <row r="9" spans="1:9" x14ac:dyDescent="0.25">
      <c r="A9" s="80"/>
      <c r="B9" s="69"/>
      <c r="C9" s="69"/>
      <c r="D9" s="69"/>
      <c r="E9" s="69"/>
      <c r="F9" s="69"/>
      <c r="G9" s="69"/>
      <c r="H9" s="69"/>
      <c r="I9" s="71"/>
    </row>
    <row r="10" spans="1:9" x14ac:dyDescent="0.25">
      <c r="A10" s="81" t="s">
        <v>51</v>
      </c>
      <c r="B10" s="69"/>
      <c r="C10" s="74" t="str">
        <f>'Stavební rozpočet'!D8</f>
        <v xml:space="preserve"> </v>
      </c>
      <c r="D10" s="69"/>
      <c r="E10" s="74" t="s">
        <v>12</v>
      </c>
      <c r="F10" s="74" t="str">
        <f>'Stavební rozpočet'!J8</f>
        <v> </v>
      </c>
      <c r="G10" s="69"/>
      <c r="H10" s="69" t="s">
        <v>52</v>
      </c>
      <c r="I10" s="72" t="str">
        <f>'Stavební rozpočet'!H8</f>
        <v>29.06.2024</v>
      </c>
    </row>
    <row r="11" spans="1:9" x14ac:dyDescent="0.25">
      <c r="A11" s="120"/>
      <c r="B11" s="77"/>
      <c r="C11" s="77"/>
      <c r="D11" s="77"/>
      <c r="E11" s="77"/>
      <c r="F11" s="77"/>
      <c r="G11" s="77"/>
      <c r="H11" s="77"/>
      <c r="I11" s="116"/>
    </row>
    <row r="12" spans="1:9" ht="23.25" x14ac:dyDescent="0.25">
      <c r="A12" s="117" t="s">
        <v>53</v>
      </c>
      <c r="B12" s="117"/>
      <c r="C12" s="117"/>
      <c r="D12" s="117"/>
      <c r="E12" s="117"/>
      <c r="F12" s="117"/>
      <c r="G12" s="117"/>
      <c r="H12" s="117"/>
      <c r="I12" s="117"/>
    </row>
    <row r="13" spans="1:9" ht="26.25" customHeight="1" x14ac:dyDescent="0.25">
      <c r="A13" s="17" t="s">
        <v>54</v>
      </c>
      <c r="B13" s="118" t="s">
        <v>55</v>
      </c>
      <c r="C13" s="119"/>
      <c r="D13" s="18" t="s">
        <v>56</v>
      </c>
      <c r="E13" s="118" t="s">
        <v>57</v>
      </c>
      <c r="F13" s="119"/>
      <c r="G13" s="18" t="s">
        <v>58</v>
      </c>
      <c r="H13" s="118" t="s">
        <v>59</v>
      </c>
      <c r="I13" s="119"/>
    </row>
    <row r="14" spans="1:9" ht="15.75" x14ac:dyDescent="0.25">
      <c r="A14" s="19" t="s">
        <v>60</v>
      </c>
      <c r="B14" s="20" t="s">
        <v>61</v>
      </c>
      <c r="C14" s="21">
        <f>SUM('Stavební rozpočet'!AB12:AB78)</f>
        <v>0</v>
      </c>
      <c r="D14" s="106" t="s">
        <v>62</v>
      </c>
      <c r="E14" s="107"/>
      <c r="F14" s="21">
        <f>VORN!I15</f>
        <v>0</v>
      </c>
      <c r="G14" s="106" t="s">
        <v>63</v>
      </c>
      <c r="H14" s="107"/>
      <c r="I14" s="22">
        <f>VORN!I21</f>
        <v>0</v>
      </c>
    </row>
    <row r="15" spans="1:9" ht="15.75" x14ac:dyDescent="0.25">
      <c r="A15" s="23" t="s">
        <v>18</v>
      </c>
      <c r="B15" s="20" t="s">
        <v>64</v>
      </c>
      <c r="C15" s="21">
        <f>SUM('Stavební rozpočet'!AC12:AC78)</f>
        <v>0</v>
      </c>
      <c r="D15" s="106" t="s">
        <v>65</v>
      </c>
      <c r="E15" s="107"/>
      <c r="F15" s="21">
        <f>VORN!I16</f>
        <v>0</v>
      </c>
      <c r="G15" s="106" t="s">
        <v>66</v>
      </c>
      <c r="H15" s="107"/>
      <c r="I15" s="22">
        <f>VORN!I22</f>
        <v>0</v>
      </c>
    </row>
    <row r="16" spans="1:9" ht="15.75" x14ac:dyDescent="0.25">
      <c r="A16" s="19" t="s">
        <v>67</v>
      </c>
      <c r="B16" s="20" t="s">
        <v>61</v>
      </c>
      <c r="C16" s="21">
        <f>SUM('Stavební rozpočet'!AD12:AD78)</f>
        <v>0</v>
      </c>
      <c r="D16" s="106" t="s">
        <v>68</v>
      </c>
      <c r="E16" s="107"/>
      <c r="F16" s="21">
        <f>VORN!I17</f>
        <v>0</v>
      </c>
      <c r="G16" s="106" t="s">
        <v>69</v>
      </c>
      <c r="H16" s="107"/>
      <c r="I16" s="22">
        <f>VORN!I23</f>
        <v>0</v>
      </c>
    </row>
    <row r="17" spans="1:9" ht="15.75" x14ac:dyDescent="0.25">
      <c r="A17" s="23" t="s">
        <v>18</v>
      </c>
      <c r="B17" s="20" t="s">
        <v>64</v>
      </c>
      <c r="C17" s="21">
        <f>SUM('Stavební rozpočet'!AE12:AE78)</f>
        <v>0</v>
      </c>
      <c r="D17" s="106" t="s">
        <v>18</v>
      </c>
      <c r="E17" s="107"/>
      <c r="F17" s="22" t="s">
        <v>18</v>
      </c>
      <c r="G17" s="106" t="s">
        <v>46</v>
      </c>
      <c r="H17" s="107"/>
      <c r="I17" s="22">
        <f>VORN!I24</f>
        <v>0</v>
      </c>
    </row>
    <row r="18" spans="1:9" ht="15.75" x14ac:dyDescent="0.25">
      <c r="A18" s="19" t="s">
        <v>70</v>
      </c>
      <c r="B18" s="20" t="s">
        <v>61</v>
      </c>
      <c r="C18" s="21">
        <f>SUM('Stavební rozpočet'!AF12:AF78)</f>
        <v>0</v>
      </c>
      <c r="D18" s="106" t="s">
        <v>18</v>
      </c>
      <c r="E18" s="107"/>
      <c r="F18" s="22" t="s">
        <v>18</v>
      </c>
      <c r="G18" s="106" t="s">
        <v>71</v>
      </c>
      <c r="H18" s="107"/>
      <c r="I18" s="22">
        <f>VORN!I25</f>
        <v>0</v>
      </c>
    </row>
    <row r="19" spans="1:9" ht="15.75" x14ac:dyDescent="0.25">
      <c r="A19" s="23" t="s">
        <v>18</v>
      </c>
      <c r="B19" s="20" t="s">
        <v>64</v>
      </c>
      <c r="C19" s="21">
        <f>SUM('Stavební rozpočet'!AG12:AG78)</f>
        <v>0</v>
      </c>
      <c r="D19" s="106" t="s">
        <v>18</v>
      </c>
      <c r="E19" s="107"/>
      <c r="F19" s="22" t="s">
        <v>18</v>
      </c>
      <c r="G19" s="106" t="s">
        <v>72</v>
      </c>
      <c r="H19" s="107"/>
      <c r="I19" s="22">
        <f>VORN!I26</f>
        <v>0</v>
      </c>
    </row>
    <row r="20" spans="1:9" ht="15.75" x14ac:dyDescent="0.25">
      <c r="A20" s="98" t="s">
        <v>73</v>
      </c>
      <c r="B20" s="99"/>
      <c r="C20" s="21">
        <f>SUM('Stavební rozpočet'!AH12:AH78)</f>
        <v>0</v>
      </c>
      <c r="D20" s="106" t="s">
        <v>18</v>
      </c>
      <c r="E20" s="107"/>
      <c r="F20" s="22" t="s">
        <v>18</v>
      </c>
      <c r="G20" s="106" t="s">
        <v>18</v>
      </c>
      <c r="H20" s="107"/>
      <c r="I20" s="22" t="s">
        <v>18</v>
      </c>
    </row>
    <row r="21" spans="1:9" ht="15.75" x14ac:dyDescent="0.25">
      <c r="A21" s="113" t="s">
        <v>74</v>
      </c>
      <c r="B21" s="114"/>
      <c r="C21" s="24">
        <f>SUM('Stavební rozpočet'!Z12:Z78)</f>
        <v>0</v>
      </c>
      <c r="D21" s="108" t="s">
        <v>18</v>
      </c>
      <c r="E21" s="109"/>
      <c r="F21" s="25" t="s">
        <v>18</v>
      </c>
      <c r="G21" s="108" t="s">
        <v>18</v>
      </c>
      <c r="H21" s="109"/>
      <c r="I21" s="25" t="s">
        <v>18</v>
      </c>
    </row>
    <row r="22" spans="1:9" ht="16.5" customHeight="1" x14ac:dyDescent="0.25">
      <c r="A22" s="115" t="s">
        <v>75</v>
      </c>
      <c r="B22" s="111"/>
      <c r="C22" s="26">
        <f>SUM(C14:C21)</f>
        <v>0</v>
      </c>
      <c r="D22" s="110" t="s">
        <v>76</v>
      </c>
      <c r="E22" s="111"/>
      <c r="F22" s="26">
        <f>SUM(F14:F21)</f>
        <v>0</v>
      </c>
      <c r="G22" s="110" t="s">
        <v>77</v>
      </c>
      <c r="H22" s="111"/>
      <c r="I22" s="26">
        <f>SUM(I14:I21)</f>
        <v>0</v>
      </c>
    </row>
    <row r="23" spans="1:9" ht="15.75" x14ac:dyDescent="0.25">
      <c r="D23" s="98" t="s">
        <v>78</v>
      </c>
      <c r="E23" s="99"/>
      <c r="F23" s="27">
        <v>0</v>
      </c>
      <c r="G23" s="112" t="s">
        <v>79</v>
      </c>
      <c r="H23" s="99"/>
      <c r="I23" s="21">
        <v>0</v>
      </c>
    </row>
    <row r="24" spans="1:9" ht="15.75" x14ac:dyDescent="0.25">
      <c r="G24" s="98" t="s">
        <v>80</v>
      </c>
      <c r="H24" s="99"/>
      <c r="I24" s="24">
        <f>vorn_sum</f>
        <v>0</v>
      </c>
    </row>
    <row r="25" spans="1:9" ht="15.75" x14ac:dyDescent="0.25">
      <c r="G25" s="98" t="s">
        <v>81</v>
      </c>
      <c r="H25" s="99"/>
      <c r="I25" s="26">
        <v>0</v>
      </c>
    </row>
    <row r="27" spans="1:9" ht="15.75" x14ac:dyDescent="0.25">
      <c r="A27" s="100" t="s">
        <v>82</v>
      </c>
      <c r="B27" s="101"/>
      <c r="C27" s="28">
        <f>SUM('Stavební rozpočet'!AJ12:AJ78)</f>
        <v>0</v>
      </c>
    </row>
    <row r="28" spans="1:9" ht="15.75" x14ac:dyDescent="0.25">
      <c r="A28" s="102" t="s">
        <v>83</v>
      </c>
      <c r="B28" s="103"/>
      <c r="C28" s="29">
        <f>SUM('Stavební rozpočet'!AK12:AK78)</f>
        <v>0</v>
      </c>
      <c r="D28" s="104" t="s">
        <v>84</v>
      </c>
      <c r="E28" s="101"/>
      <c r="F28" s="28">
        <f>ROUND(C28*(12/100),2)</f>
        <v>0</v>
      </c>
      <c r="G28" s="104" t="s">
        <v>85</v>
      </c>
      <c r="H28" s="101"/>
      <c r="I28" s="28">
        <f>SUM(C27:C29)</f>
        <v>0</v>
      </c>
    </row>
    <row r="29" spans="1:9" ht="15.75" x14ac:dyDescent="0.25">
      <c r="A29" s="102" t="s">
        <v>86</v>
      </c>
      <c r="B29" s="103"/>
      <c r="C29" s="29">
        <f>SUM('Stavební rozpočet'!AL12:AL78)</f>
        <v>0</v>
      </c>
      <c r="D29" s="105" t="s">
        <v>87</v>
      </c>
      <c r="E29" s="103"/>
      <c r="F29" s="29">
        <f>ROUND(C29*(21/100),2)</f>
        <v>0</v>
      </c>
      <c r="G29" s="105" t="s">
        <v>88</v>
      </c>
      <c r="H29" s="103"/>
      <c r="I29" s="29">
        <f>SUM(F28:F29)+I28</f>
        <v>0</v>
      </c>
    </row>
    <row r="31" spans="1:9" x14ac:dyDescent="0.25">
      <c r="A31" s="95" t="s">
        <v>89</v>
      </c>
      <c r="B31" s="87"/>
      <c r="C31" s="88"/>
      <c r="D31" s="86" t="s">
        <v>90</v>
      </c>
      <c r="E31" s="87"/>
      <c r="F31" s="88"/>
      <c r="G31" s="86" t="s">
        <v>91</v>
      </c>
      <c r="H31" s="87"/>
      <c r="I31" s="88"/>
    </row>
    <row r="32" spans="1:9" x14ac:dyDescent="0.25">
      <c r="A32" s="96" t="s">
        <v>18</v>
      </c>
      <c r="B32" s="90"/>
      <c r="C32" s="91"/>
      <c r="D32" s="89" t="s">
        <v>18</v>
      </c>
      <c r="E32" s="90"/>
      <c r="F32" s="91"/>
      <c r="G32" s="89" t="s">
        <v>18</v>
      </c>
      <c r="H32" s="90"/>
      <c r="I32" s="91"/>
    </row>
    <row r="33" spans="1:9" x14ac:dyDescent="0.25">
      <c r="A33" s="96" t="s">
        <v>18</v>
      </c>
      <c r="B33" s="90"/>
      <c r="C33" s="91"/>
      <c r="D33" s="89" t="s">
        <v>18</v>
      </c>
      <c r="E33" s="90"/>
      <c r="F33" s="91"/>
      <c r="G33" s="89" t="s">
        <v>18</v>
      </c>
      <c r="H33" s="90"/>
      <c r="I33" s="91"/>
    </row>
    <row r="34" spans="1:9" x14ac:dyDescent="0.25">
      <c r="A34" s="96" t="s">
        <v>18</v>
      </c>
      <c r="B34" s="90"/>
      <c r="C34" s="91"/>
      <c r="D34" s="89" t="s">
        <v>18</v>
      </c>
      <c r="E34" s="90"/>
      <c r="F34" s="91"/>
      <c r="G34" s="89" t="s">
        <v>18</v>
      </c>
      <c r="H34" s="90"/>
      <c r="I34" s="91"/>
    </row>
    <row r="35" spans="1:9" x14ac:dyDescent="0.25">
      <c r="A35" s="97" t="s">
        <v>92</v>
      </c>
      <c r="B35" s="93"/>
      <c r="C35" s="94"/>
      <c r="D35" s="92" t="s">
        <v>92</v>
      </c>
      <c r="E35" s="93"/>
      <c r="F35" s="94"/>
      <c r="G35" s="92" t="s">
        <v>92</v>
      </c>
      <c r="H35" s="93"/>
      <c r="I35" s="94"/>
    </row>
    <row r="36" spans="1:9" x14ac:dyDescent="0.25">
      <c r="A36" s="30" t="s">
        <v>93</v>
      </c>
    </row>
    <row r="37" spans="1:9" ht="12.75" customHeight="1" x14ac:dyDescent="0.25">
      <c r="A37" s="74" t="s">
        <v>18</v>
      </c>
      <c r="B37" s="69"/>
      <c r="C37" s="69"/>
      <c r="D37" s="69"/>
      <c r="E37" s="69"/>
      <c r="F37" s="69"/>
      <c r="G37" s="69"/>
      <c r="H37" s="69"/>
      <c r="I37" s="69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22" t="s">
        <v>43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79" t="s">
        <v>1</v>
      </c>
      <c r="B2" s="76"/>
      <c r="C2" s="84" t="str">
        <f>'Stavební rozpočet'!D2</f>
        <v>24104 Bruntál, ul. Šrámkova, oprava zídky kolem hřiště</v>
      </c>
      <c r="D2" s="121"/>
      <c r="E2" s="83" t="s">
        <v>4</v>
      </c>
      <c r="F2" s="83" t="str">
        <f>'Stavební rozpočet'!J2</f>
        <v> </v>
      </c>
      <c r="G2" s="76"/>
      <c r="H2" s="83" t="s">
        <v>49</v>
      </c>
      <c r="I2" s="123" t="s">
        <v>18</v>
      </c>
    </row>
    <row r="3" spans="1:9" ht="15" customHeight="1" x14ac:dyDescent="0.25">
      <c r="A3" s="80"/>
      <c r="B3" s="69"/>
      <c r="C3" s="85"/>
      <c r="D3" s="85"/>
      <c r="E3" s="69"/>
      <c r="F3" s="69"/>
      <c r="G3" s="69"/>
      <c r="H3" s="69"/>
      <c r="I3" s="71"/>
    </row>
    <row r="4" spans="1:9" x14ac:dyDescent="0.25">
      <c r="A4" s="81" t="s">
        <v>5</v>
      </c>
      <c r="B4" s="69"/>
      <c r="C4" s="74" t="str">
        <f>'Stavební rozpočet'!D4</f>
        <v xml:space="preserve"> </v>
      </c>
      <c r="D4" s="69"/>
      <c r="E4" s="74" t="s">
        <v>8</v>
      </c>
      <c r="F4" s="74" t="str">
        <f>'Stavební rozpočet'!J4</f>
        <v> </v>
      </c>
      <c r="G4" s="69"/>
      <c r="H4" s="74" t="s">
        <v>49</v>
      </c>
      <c r="I4" s="71" t="s">
        <v>18</v>
      </c>
    </row>
    <row r="5" spans="1:9" ht="15" customHeight="1" x14ac:dyDescent="0.25">
      <c r="A5" s="80"/>
      <c r="B5" s="69"/>
      <c r="C5" s="69"/>
      <c r="D5" s="69"/>
      <c r="E5" s="69"/>
      <c r="F5" s="69"/>
      <c r="G5" s="69"/>
      <c r="H5" s="69"/>
      <c r="I5" s="71"/>
    </row>
    <row r="6" spans="1:9" x14ac:dyDescent="0.25">
      <c r="A6" s="81" t="s">
        <v>9</v>
      </c>
      <c r="B6" s="69"/>
      <c r="C6" s="74" t="str">
        <f>'Stavební rozpočet'!D6</f>
        <v xml:space="preserve"> </v>
      </c>
      <c r="D6" s="69"/>
      <c r="E6" s="74" t="s">
        <v>11</v>
      </c>
      <c r="F6" s="74" t="str">
        <f>'Stavební rozpočet'!J6</f>
        <v> </v>
      </c>
      <c r="G6" s="69"/>
      <c r="H6" s="74" t="s">
        <v>49</v>
      </c>
      <c r="I6" s="71" t="s">
        <v>18</v>
      </c>
    </row>
    <row r="7" spans="1:9" ht="15" customHeight="1" x14ac:dyDescent="0.25">
      <c r="A7" s="80"/>
      <c r="B7" s="69"/>
      <c r="C7" s="69"/>
      <c r="D7" s="69"/>
      <c r="E7" s="69"/>
      <c r="F7" s="69"/>
      <c r="G7" s="69"/>
      <c r="H7" s="69"/>
      <c r="I7" s="71"/>
    </row>
    <row r="8" spans="1:9" x14ac:dyDescent="0.25">
      <c r="A8" s="81" t="s">
        <v>6</v>
      </c>
      <c r="B8" s="69"/>
      <c r="C8" s="74" t="str">
        <f>'Stavební rozpočet'!H4</f>
        <v>29.06.2024</v>
      </c>
      <c r="D8" s="69"/>
      <c r="E8" s="74" t="s">
        <v>10</v>
      </c>
      <c r="F8" s="74" t="str">
        <f>'Stavební rozpočet'!H6</f>
        <v xml:space="preserve"> </v>
      </c>
      <c r="G8" s="69"/>
      <c r="H8" s="69" t="s">
        <v>50</v>
      </c>
      <c r="I8" s="124">
        <v>24</v>
      </c>
    </row>
    <row r="9" spans="1:9" x14ac:dyDescent="0.25">
      <c r="A9" s="80"/>
      <c r="B9" s="69"/>
      <c r="C9" s="69"/>
      <c r="D9" s="69"/>
      <c r="E9" s="69"/>
      <c r="F9" s="69"/>
      <c r="G9" s="69"/>
      <c r="H9" s="69"/>
      <c r="I9" s="71"/>
    </row>
    <row r="10" spans="1:9" x14ac:dyDescent="0.25">
      <c r="A10" s="81" t="s">
        <v>51</v>
      </c>
      <c r="B10" s="69"/>
      <c r="C10" s="74" t="str">
        <f>'Stavební rozpočet'!D8</f>
        <v xml:space="preserve"> </v>
      </c>
      <c r="D10" s="69"/>
      <c r="E10" s="74" t="s">
        <v>12</v>
      </c>
      <c r="F10" s="74" t="str">
        <f>'Stavební rozpočet'!J8</f>
        <v> </v>
      </c>
      <c r="G10" s="69"/>
      <c r="H10" s="69" t="s">
        <v>52</v>
      </c>
      <c r="I10" s="72" t="str">
        <f>'Stavební rozpočet'!H8</f>
        <v>29.06.2024</v>
      </c>
    </row>
    <row r="11" spans="1:9" x14ac:dyDescent="0.25">
      <c r="A11" s="120"/>
      <c r="B11" s="77"/>
      <c r="C11" s="77"/>
      <c r="D11" s="77"/>
      <c r="E11" s="77"/>
      <c r="F11" s="77"/>
      <c r="G11" s="77"/>
      <c r="H11" s="77"/>
      <c r="I11" s="116"/>
    </row>
    <row r="13" spans="1:9" ht="15.75" x14ac:dyDescent="0.25">
      <c r="A13" s="140" t="s">
        <v>94</v>
      </c>
      <c r="B13" s="140"/>
      <c r="C13" s="140"/>
      <c r="D13" s="140"/>
      <c r="E13" s="140"/>
    </row>
    <row r="14" spans="1:9" x14ac:dyDescent="0.25">
      <c r="A14" s="141" t="s">
        <v>95</v>
      </c>
      <c r="B14" s="142"/>
      <c r="C14" s="142"/>
      <c r="D14" s="142"/>
      <c r="E14" s="143"/>
      <c r="F14" s="31" t="s">
        <v>96</v>
      </c>
      <c r="G14" s="31" t="s">
        <v>97</v>
      </c>
      <c r="H14" s="31" t="s">
        <v>98</v>
      </c>
      <c r="I14" s="31" t="s">
        <v>96</v>
      </c>
    </row>
    <row r="15" spans="1:9" x14ac:dyDescent="0.25">
      <c r="A15" s="125" t="s">
        <v>62</v>
      </c>
      <c r="B15" s="126"/>
      <c r="C15" s="126"/>
      <c r="D15" s="126"/>
      <c r="E15" s="127"/>
      <c r="F15" s="32">
        <v>0</v>
      </c>
      <c r="G15" s="33" t="s">
        <v>18</v>
      </c>
      <c r="H15" s="33" t="s">
        <v>18</v>
      </c>
      <c r="I15" s="32">
        <f>F15</f>
        <v>0</v>
      </c>
    </row>
    <row r="16" spans="1:9" x14ac:dyDescent="0.25">
      <c r="A16" s="125" t="s">
        <v>65</v>
      </c>
      <c r="B16" s="126"/>
      <c r="C16" s="126"/>
      <c r="D16" s="126"/>
      <c r="E16" s="127"/>
      <c r="F16" s="32">
        <v>0</v>
      </c>
      <c r="G16" s="33" t="s">
        <v>18</v>
      </c>
      <c r="H16" s="33" t="s">
        <v>18</v>
      </c>
      <c r="I16" s="32">
        <f>F16</f>
        <v>0</v>
      </c>
    </row>
    <row r="17" spans="1:9" x14ac:dyDescent="0.25">
      <c r="A17" s="128" t="s">
        <v>68</v>
      </c>
      <c r="B17" s="129"/>
      <c r="C17" s="129"/>
      <c r="D17" s="129"/>
      <c r="E17" s="130"/>
      <c r="F17" s="34">
        <v>0</v>
      </c>
      <c r="G17" s="35" t="s">
        <v>18</v>
      </c>
      <c r="H17" s="35" t="s">
        <v>18</v>
      </c>
      <c r="I17" s="34">
        <f>F17</f>
        <v>0</v>
      </c>
    </row>
    <row r="18" spans="1:9" x14ac:dyDescent="0.25">
      <c r="A18" s="131" t="s">
        <v>99</v>
      </c>
      <c r="B18" s="132"/>
      <c r="C18" s="132"/>
      <c r="D18" s="132"/>
      <c r="E18" s="133"/>
      <c r="F18" s="36" t="s">
        <v>18</v>
      </c>
      <c r="G18" s="37" t="s">
        <v>18</v>
      </c>
      <c r="H18" s="37" t="s">
        <v>18</v>
      </c>
      <c r="I18" s="38">
        <f>SUM(I15:I17)</f>
        <v>0</v>
      </c>
    </row>
    <row r="20" spans="1:9" x14ac:dyDescent="0.25">
      <c r="A20" s="141" t="s">
        <v>59</v>
      </c>
      <c r="B20" s="142"/>
      <c r="C20" s="142"/>
      <c r="D20" s="142"/>
      <c r="E20" s="143"/>
      <c r="F20" s="31" t="s">
        <v>96</v>
      </c>
      <c r="G20" s="31" t="s">
        <v>97</v>
      </c>
      <c r="H20" s="31" t="s">
        <v>98</v>
      </c>
      <c r="I20" s="31" t="s">
        <v>96</v>
      </c>
    </row>
    <row r="21" spans="1:9" x14ac:dyDescent="0.25">
      <c r="A21" s="125" t="s">
        <v>63</v>
      </c>
      <c r="B21" s="126"/>
      <c r="C21" s="126"/>
      <c r="D21" s="126"/>
      <c r="E21" s="127"/>
      <c r="F21" s="32">
        <v>0</v>
      </c>
      <c r="G21" s="33" t="s">
        <v>18</v>
      </c>
      <c r="H21" s="33" t="s">
        <v>18</v>
      </c>
      <c r="I21" s="32">
        <f t="shared" ref="I21:I26" si="0">F21</f>
        <v>0</v>
      </c>
    </row>
    <row r="22" spans="1:9" x14ac:dyDescent="0.25">
      <c r="A22" s="125" t="s">
        <v>66</v>
      </c>
      <c r="B22" s="126"/>
      <c r="C22" s="126"/>
      <c r="D22" s="126"/>
      <c r="E22" s="127"/>
      <c r="F22" s="32">
        <v>0</v>
      </c>
      <c r="G22" s="33" t="s">
        <v>18</v>
      </c>
      <c r="H22" s="33" t="s">
        <v>18</v>
      </c>
      <c r="I22" s="32">
        <f t="shared" si="0"/>
        <v>0</v>
      </c>
    </row>
    <row r="23" spans="1:9" x14ac:dyDescent="0.25">
      <c r="A23" s="125" t="s">
        <v>69</v>
      </c>
      <c r="B23" s="126"/>
      <c r="C23" s="126"/>
      <c r="D23" s="126"/>
      <c r="E23" s="127"/>
      <c r="F23" s="32">
        <v>0</v>
      </c>
      <c r="G23" s="33" t="s">
        <v>18</v>
      </c>
      <c r="H23" s="33" t="s">
        <v>18</v>
      </c>
      <c r="I23" s="32">
        <f t="shared" si="0"/>
        <v>0</v>
      </c>
    </row>
    <row r="24" spans="1:9" x14ac:dyDescent="0.25">
      <c r="A24" s="125" t="s">
        <v>46</v>
      </c>
      <c r="B24" s="126"/>
      <c r="C24" s="126"/>
      <c r="D24" s="126"/>
      <c r="E24" s="127"/>
      <c r="F24" s="32">
        <v>0</v>
      </c>
      <c r="G24" s="33" t="s">
        <v>18</v>
      </c>
      <c r="H24" s="33" t="s">
        <v>18</v>
      </c>
      <c r="I24" s="32">
        <f t="shared" si="0"/>
        <v>0</v>
      </c>
    </row>
    <row r="25" spans="1:9" x14ac:dyDescent="0.25">
      <c r="A25" s="125" t="s">
        <v>71</v>
      </c>
      <c r="B25" s="126"/>
      <c r="C25" s="126"/>
      <c r="D25" s="126"/>
      <c r="E25" s="127"/>
      <c r="F25" s="32">
        <v>0</v>
      </c>
      <c r="G25" s="33" t="s">
        <v>18</v>
      </c>
      <c r="H25" s="33" t="s">
        <v>18</v>
      </c>
      <c r="I25" s="32">
        <f t="shared" si="0"/>
        <v>0</v>
      </c>
    </row>
    <row r="26" spans="1:9" x14ac:dyDescent="0.25">
      <c r="A26" s="128" t="s">
        <v>72</v>
      </c>
      <c r="B26" s="129"/>
      <c r="C26" s="129"/>
      <c r="D26" s="129"/>
      <c r="E26" s="130"/>
      <c r="F26" s="34">
        <v>0</v>
      </c>
      <c r="G26" s="35" t="s">
        <v>18</v>
      </c>
      <c r="H26" s="35" t="s">
        <v>18</v>
      </c>
      <c r="I26" s="34">
        <f t="shared" si="0"/>
        <v>0</v>
      </c>
    </row>
    <row r="27" spans="1:9" x14ac:dyDescent="0.25">
      <c r="A27" s="131" t="s">
        <v>100</v>
      </c>
      <c r="B27" s="132"/>
      <c r="C27" s="132"/>
      <c r="D27" s="132"/>
      <c r="E27" s="133"/>
      <c r="F27" s="36" t="s">
        <v>18</v>
      </c>
      <c r="G27" s="37" t="s">
        <v>18</v>
      </c>
      <c r="H27" s="37" t="s">
        <v>18</v>
      </c>
      <c r="I27" s="38">
        <f>SUM(I21:I26)</f>
        <v>0</v>
      </c>
    </row>
    <row r="29" spans="1:9" ht="15.75" x14ac:dyDescent="0.25">
      <c r="A29" s="134" t="s">
        <v>101</v>
      </c>
      <c r="B29" s="135"/>
      <c r="C29" s="135"/>
      <c r="D29" s="135"/>
      <c r="E29" s="136"/>
      <c r="F29" s="137">
        <f>I18+I27</f>
        <v>0</v>
      </c>
      <c r="G29" s="138"/>
      <c r="H29" s="138"/>
      <c r="I29" s="139"/>
    </row>
    <row r="33" spans="1:9" ht="15.75" x14ac:dyDescent="0.25">
      <c r="A33" s="140" t="s">
        <v>102</v>
      </c>
      <c r="B33" s="140"/>
      <c r="C33" s="140"/>
      <c r="D33" s="140"/>
      <c r="E33" s="140"/>
    </row>
    <row r="34" spans="1:9" x14ac:dyDescent="0.25">
      <c r="A34" s="141" t="s">
        <v>103</v>
      </c>
      <c r="B34" s="142"/>
      <c r="C34" s="142"/>
      <c r="D34" s="142"/>
      <c r="E34" s="143"/>
      <c r="F34" s="31" t="s">
        <v>96</v>
      </c>
      <c r="G34" s="31" t="s">
        <v>97</v>
      </c>
      <c r="H34" s="31" t="s">
        <v>98</v>
      </c>
      <c r="I34" s="31" t="s">
        <v>96</v>
      </c>
    </row>
    <row r="35" spans="1:9" x14ac:dyDescent="0.25">
      <c r="A35" s="125" t="s">
        <v>104</v>
      </c>
      <c r="B35" s="126"/>
      <c r="C35" s="126"/>
      <c r="D35" s="126"/>
      <c r="E35" s="127"/>
      <c r="F35" s="32">
        <f>SUM('Stavební rozpočet'!BM12:BM78)</f>
        <v>0</v>
      </c>
      <c r="G35" s="33" t="s">
        <v>18</v>
      </c>
      <c r="H35" s="33" t="s">
        <v>18</v>
      </c>
      <c r="I35" s="32">
        <f t="shared" ref="I35:I44" si="1">F35</f>
        <v>0</v>
      </c>
    </row>
    <row r="36" spans="1:9" x14ac:dyDescent="0.25">
      <c r="A36" s="125" t="s">
        <v>105</v>
      </c>
      <c r="B36" s="126"/>
      <c r="C36" s="126"/>
      <c r="D36" s="126"/>
      <c r="E36" s="127"/>
      <c r="F36" s="32">
        <f>SUM('Stavební rozpočet'!BN12:BN78)</f>
        <v>0</v>
      </c>
      <c r="G36" s="33" t="s">
        <v>18</v>
      </c>
      <c r="H36" s="33" t="s">
        <v>18</v>
      </c>
      <c r="I36" s="32">
        <f t="shared" si="1"/>
        <v>0</v>
      </c>
    </row>
    <row r="37" spans="1:9" x14ac:dyDescent="0.25">
      <c r="A37" s="125" t="s">
        <v>63</v>
      </c>
      <c r="B37" s="126"/>
      <c r="C37" s="126"/>
      <c r="D37" s="126"/>
      <c r="E37" s="127"/>
      <c r="F37" s="32">
        <f>SUM('Stavební rozpočet'!BO12:BO78)</f>
        <v>0</v>
      </c>
      <c r="G37" s="33" t="s">
        <v>18</v>
      </c>
      <c r="H37" s="33" t="s">
        <v>18</v>
      </c>
      <c r="I37" s="32">
        <f t="shared" si="1"/>
        <v>0</v>
      </c>
    </row>
    <row r="38" spans="1:9" x14ac:dyDescent="0.25">
      <c r="A38" s="125" t="s">
        <v>106</v>
      </c>
      <c r="B38" s="126"/>
      <c r="C38" s="126"/>
      <c r="D38" s="126"/>
      <c r="E38" s="127"/>
      <c r="F38" s="32">
        <f>SUM('Stavební rozpočet'!BP12:BP78)</f>
        <v>0</v>
      </c>
      <c r="G38" s="33" t="s">
        <v>18</v>
      </c>
      <c r="H38" s="33" t="s">
        <v>18</v>
      </c>
      <c r="I38" s="32">
        <f t="shared" si="1"/>
        <v>0</v>
      </c>
    </row>
    <row r="39" spans="1:9" x14ac:dyDescent="0.25">
      <c r="A39" s="125" t="s">
        <v>107</v>
      </c>
      <c r="B39" s="126"/>
      <c r="C39" s="126"/>
      <c r="D39" s="126"/>
      <c r="E39" s="127"/>
      <c r="F39" s="32">
        <f>SUM('Stavební rozpočet'!BQ12:BQ78)</f>
        <v>0</v>
      </c>
      <c r="G39" s="33" t="s">
        <v>18</v>
      </c>
      <c r="H39" s="33" t="s">
        <v>18</v>
      </c>
      <c r="I39" s="32">
        <f t="shared" si="1"/>
        <v>0</v>
      </c>
    </row>
    <row r="40" spans="1:9" x14ac:dyDescent="0.25">
      <c r="A40" s="125" t="s">
        <v>69</v>
      </c>
      <c r="B40" s="126"/>
      <c r="C40" s="126"/>
      <c r="D40" s="126"/>
      <c r="E40" s="127"/>
      <c r="F40" s="32">
        <f>SUM('Stavební rozpočet'!BR12:BR78)</f>
        <v>0</v>
      </c>
      <c r="G40" s="33" t="s">
        <v>18</v>
      </c>
      <c r="H40" s="33" t="s">
        <v>18</v>
      </c>
      <c r="I40" s="32">
        <f t="shared" si="1"/>
        <v>0</v>
      </c>
    </row>
    <row r="41" spans="1:9" x14ac:dyDescent="0.25">
      <c r="A41" s="125" t="s">
        <v>46</v>
      </c>
      <c r="B41" s="126"/>
      <c r="C41" s="126"/>
      <c r="D41" s="126"/>
      <c r="E41" s="127"/>
      <c r="F41" s="32">
        <f>SUM('Stavební rozpočet'!BS12:BS78)</f>
        <v>0</v>
      </c>
      <c r="G41" s="33" t="s">
        <v>18</v>
      </c>
      <c r="H41" s="33" t="s">
        <v>18</v>
      </c>
      <c r="I41" s="32">
        <f t="shared" si="1"/>
        <v>0</v>
      </c>
    </row>
    <row r="42" spans="1:9" x14ac:dyDescent="0.25">
      <c r="A42" s="125" t="s">
        <v>108</v>
      </c>
      <c r="B42" s="126"/>
      <c r="C42" s="126"/>
      <c r="D42" s="126"/>
      <c r="E42" s="127"/>
      <c r="F42" s="32">
        <f>SUM('Stavební rozpočet'!BT12:BT78)</f>
        <v>0</v>
      </c>
      <c r="G42" s="33" t="s">
        <v>18</v>
      </c>
      <c r="H42" s="33" t="s">
        <v>18</v>
      </c>
      <c r="I42" s="32">
        <f t="shared" si="1"/>
        <v>0</v>
      </c>
    </row>
    <row r="43" spans="1:9" x14ac:dyDescent="0.25">
      <c r="A43" s="125" t="s">
        <v>109</v>
      </c>
      <c r="B43" s="126"/>
      <c r="C43" s="126"/>
      <c r="D43" s="126"/>
      <c r="E43" s="127"/>
      <c r="F43" s="32">
        <f>SUM('Stavební rozpočet'!BU12:BU78)</f>
        <v>0</v>
      </c>
      <c r="G43" s="33" t="s">
        <v>18</v>
      </c>
      <c r="H43" s="33" t="s">
        <v>18</v>
      </c>
      <c r="I43" s="32">
        <f t="shared" si="1"/>
        <v>0</v>
      </c>
    </row>
    <row r="44" spans="1:9" x14ac:dyDescent="0.25">
      <c r="A44" s="128" t="s">
        <v>110</v>
      </c>
      <c r="B44" s="129"/>
      <c r="C44" s="129"/>
      <c r="D44" s="129"/>
      <c r="E44" s="130"/>
      <c r="F44" s="34">
        <f>SUM('Stavební rozpočet'!BV12:BV78)</f>
        <v>0</v>
      </c>
      <c r="G44" s="35" t="s">
        <v>18</v>
      </c>
      <c r="H44" s="35" t="s">
        <v>18</v>
      </c>
      <c r="I44" s="34">
        <f t="shared" si="1"/>
        <v>0</v>
      </c>
    </row>
    <row r="45" spans="1:9" x14ac:dyDescent="0.25">
      <c r="A45" s="131" t="s">
        <v>111</v>
      </c>
      <c r="B45" s="132"/>
      <c r="C45" s="132"/>
      <c r="D45" s="132"/>
      <c r="E45" s="133"/>
      <c r="F45" s="36" t="s">
        <v>18</v>
      </c>
      <c r="G45" s="37" t="s">
        <v>18</v>
      </c>
      <c r="H45" s="37" t="s">
        <v>18</v>
      </c>
      <c r="I45" s="38">
        <f>SUM(I35:I44)</f>
        <v>0</v>
      </c>
    </row>
  </sheetData>
  <mergeCells count="60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Z81"/>
  <sheetViews>
    <sheetView workbookViewId="0">
      <pane ySplit="11" topLeftCell="A63" activePane="bottomLeft" state="frozen"/>
      <selection pane="bottomLeft" activeCell="D72" sqref="D72:E72"/>
    </sheetView>
  </sheetViews>
  <sheetFormatPr defaultColWidth="12.140625" defaultRowHeight="15" customHeight="1" x14ac:dyDescent="0.25"/>
  <cols>
    <col min="1" max="1" width="3.140625" customWidth="1"/>
    <col min="2" max="2" width="7.5703125" customWidth="1"/>
    <col min="3" max="3" width="17.85546875" customWidth="1"/>
    <col min="4" max="4" width="32.7109375" customWidth="1"/>
    <col min="5" max="5" width="31.5703125" customWidth="1"/>
    <col min="6" max="6" width="6.7109375" customWidth="1"/>
    <col min="7" max="7" width="12.85546875" customWidth="1"/>
    <col min="8" max="8" width="12" customWidth="1"/>
    <col min="9" max="9" width="15.7109375" customWidth="1"/>
    <col min="25" max="75" width="12.140625" hidden="1"/>
    <col min="76" max="76" width="64.28515625" hidden="1" customWidth="1"/>
    <col min="77" max="78" width="12.140625" hidden="1"/>
  </cols>
  <sheetData>
    <row r="1" spans="1:76" ht="54.75" customHeight="1" x14ac:dyDescent="0.25">
      <c r="A1" s="78" t="s">
        <v>112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AS1" s="39">
        <f>SUM(AJ1:AJ2)</f>
        <v>0</v>
      </c>
      <c r="AT1" s="39">
        <f>SUM(AK1:AK2)</f>
        <v>0</v>
      </c>
      <c r="AU1" s="39">
        <f>SUM(AL1:AL2)</f>
        <v>0</v>
      </c>
    </row>
    <row r="2" spans="1:76" x14ac:dyDescent="0.25">
      <c r="A2" s="79" t="s">
        <v>1</v>
      </c>
      <c r="B2" s="76"/>
      <c r="C2" s="76"/>
      <c r="D2" s="84" t="s">
        <v>113</v>
      </c>
      <c r="E2" s="121"/>
      <c r="F2" s="76" t="s">
        <v>2</v>
      </c>
      <c r="G2" s="76"/>
      <c r="H2" s="76" t="s">
        <v>3</v>
      </c>
      <c r="I2" s="83" t="s">
        <v>4</v>
      </c>
      <c r="J2" s="76" t="s">
        <v>114</v>
      </c>
      <c r="K2" s="123"/>
    </row>
    <row r="3" spans="1:76" x14ac:dyDescent="0.25">
      <c r="A3" s="80"/>
      <c r="B3" s="69"/>
      <c r="C3" s="69"/>
      <c r="D3" s="85"/>
      <c r="E3" s="85"/>
      <c r="F3" s="69"/>
      <c r="G3" s="69"/>
      <c r="H3" s="69"/>
      <c r="I3" s="69"/>
      <c r="J3" s="69"/>
      <c r="K3" s="71"/>
    </row>
    <row r="4" spans="1:76" x14ac:dyDescent="0.25">
      <c r="A4" s="81" t="s">
        <v>5</v>
      </c>
      <c r="B4" s="69"/>
      <c r="C4" s="69"/>
      <c r="D4" s="74" t="s">
        <v>3</v>
      </c>
      <c r="E4" s="69"/>
      <c r="F4" s="69" t="s">
        <v>6</v>
      </c>
      <c r="G4" s="69"/>
      <c r="H4" s="69" t="s">
        <v>7</v>
      </c>
      <c r="I4" s="74" t="s">
        <v>8</v>
      </c>
      <c r="J4" s="69" t="s">
        <v>114</v>
      </c>
      <c r="K4" s="71"/>
    </row>
    <row r="5" spans="1:76" x14ac:dyDescent="0.25">
      <c r="A5" s="80"/>
      <c r="B5" s="69"/>
      <c r="C5" s="69"/>
      <c r="D5" s="69"/>
      <c r="E5" s="69"/>
      <c r="F5" s="69"/>
      <c r="G5" s="69"/>
      <c r="H5" s="69"/>
      <c r="I5" s="69"/>
      <c r="J5" s="69"/>
      <c r="K5" s="71"/>
    </row>
    <row r="6" spans="1:76" x14ac:dyDescent="0.25">
      <c r="A6" s="81" t="s">
        <v>9</v>
      </c>
      <c r="B6" s="69"/>
      <c r="C6" s="69"/>
      <c r="D6" s="74" t="s">
        <v>3</v>
      </c>
      <c r="E6" s="69"/>
      <c r="F6" s="69" t="s">
        <v>10</v>
      </c>
      <c r="G6" s="69"/>
      <c r="H6" s="69" t="s">
        <v>3</v>
      </c>
      <c r="I6" s="74" t="s">
        <v>11</v>
      </c>
      <c r="J6" s="69" t="s">
        <v>114</v>
      </c>
      <c r="K6" s="71"/>
    </row>
    <row r="7" spans="1:76" x14ac:dyDescent="0.25">
      <c r="A7" s="80"/>
      <c r="B7" s="69"/>
      <c r="C7" s="69"/>
      <c r="D7" s="69"/>
      <c r="E7" s="69"/>
      <c r="F7" s="69"/>
      <c r="G7" s="69"/>
      <c r="H7" s="69"/>
      <c r="I7" s="69"/>
      <c r="J7" s="69"/>
      <c r="K7" s="71"/>
    </row>
    <row r="8" spans="1:76" x14ac:dyDescent="0.25">
      <c r="A8" s="81" t="s">
        <v>51</v>
      </c>
      <c r="B8" s="69"/>
      <c r="C8" s="69"/>
      <c r="D8" s="74" t="s">
        <v>3</v>
      </c>
      <c r="E8" s="69"/>
      <c r="F8" s="69" t="s">
        <v>13</v>
      </c>
      <c r="G8" s="69"/>
      <c r="H8" s="69" t="s">
        <v>7</v>
      </c>
      <c r="I8" s="74" t="s">
        <v>12</v>
      </c>
      <c r="J8" s="69" t="s">
        <v>114</v>
      </c>
      <c r="K8" s="71"/>
    </row>
    <row r="9" spans="1:76" x14ac:dyDescent="0.25">
      <c r="A9" s="82"/>
      <c r="B9" s="75"/>
      <c r="C9" s="75"/>
      <c r="D9" s="75"/>
      <c r="E9" s="75"/>
      <c r="F9" s="75"/>
      <c r="G9" s="75"/>
      <c r="H9" s="75"/>
      <c r="I9" s="75"/>
      <c r="J9" s="77"/>
      <c r="K9" s="116"/>
    </row>
    <row r="10" spans="1:76" x14ac:dyDescent="0.25">
      <c r="A10" s="40" t="s">
        <v>115</v>
      </c>
      <c r="B10" s="41" t="s">
        <v>14</v>
      </c>
      <c r="C10" s="41" t="s">
        <v>15</v>
      </c>
      <c r="D10" s="154" t="s">
        <v>116</v>
      </c>
      <c r="E10" s="155"/>
      <c r="F10" s="41" t="s">
        <v>117</v>
      </c>
      <c r="G10" s="42" t="s">
        <v>118</v>
      </c>
      <c r="H10" s="43" t="s">
        <v>119</v>
      </c>
      <c r="I10" s="44" t="s">
        <v>120</v>
      </c>
      <c r="K10" s="45"/>
      <c r="BK10" s="46" t="s">
        <v>121</v>
      </c>
      <c r="BL10" s="47" t="s">
        <v>122</v>
      </c>
      <c r="BW10" s="47" t="s">
        <v>123</v>
      </c>
    </row>
    <row r="11" spans="1:76" x14ac:dyDescent="0.25">
      <c r="A11" s="48" t="s">
        <v>3</v>
      </c>
      <c r="B11" s="49" t="s">
        <v>3</v>
      </c>
      <c r="C11" s="49" t="s">
        <v>3</v>
      </c>
      <c r="D11" s="150" t="s">
        <v>124</v>
      </c>
      <c r="E11" s="151"/>
      <c r="F11" s="49" t="s">
        <v>3</v>
      </c>
      <c r="G11" s="49" t="s">
        <v>3</v>
      </c>
      <c r="H11" s="50" t="s">
        <v>125</v>
      </c>
      <c r="I11" s="51" t="s">
        <v>126</v>
      </c>
      <c r="K11" s="52"/>
      <c r="Z11" s="46" t="s">
        <v>127</v>
      </c>
      <c r="AA11" s="46" t="s">
        <v>128</v>
      </c>
      <c r="AB11" s="46" t="s">
        <v>129</v>
      </c>
      <c r="AC11" s="46" t="s">
        <v>130</v>
      </c>
      <c r="AD11" s="46" t="s">
        <v>131</v>
      </c>
      <c r="AE11" s="46" t="s">
        <v>132</v>
      </c>
      <c r="AF11" s="46" t="s">
        <v>133</v>
      </c>
      <c r="AG11" s="46" t="s">
        <v>134</v>
      </c>
      <c r="AH11" s="46" t="s">
        <v>135</v>
      </c>
      <c r="BH11" s="46" t="s">
        <v>136</v>
      </c>
      <c r="BI11" s="46" t="s">
        <v>137</v>
      </c>
      <c r="BJ11" s="46" t="s">
        <v>138</v>
      </c>
    </row>
    <row r="12" spans="1:76" x14ac:dyDescent="0.25">
      <c r="A12" s="53" t="s">
        <v>18</v>
      </c>
      <c r="B12" s="54" t="s">
        <v>18</v>
      </c>
      <c r="C12" s="54" t="s">
        <v>19</v>
      </c>
      <c r="D12" s="152" t="s">
        <v>20</v>
      </c>
      <c r="E12" s="153"/>
      <c r="F12" s="55" t="s">
        <v>3</v>
      </c>
      <c r="G12" s="55" t="s">
        <v>3</v>
      </c>
      <c r="H12" s="55" t="s">
        <v>3</v>
      </c>
      <c r="I12" s="56">
        <f>SUM(I13:I13)</f>
        <v>0</v>
      </c>
      <c r="K12" s="52"/>
      <c r="AI12" s="46" t="s">
        <v>18</v>
      </c>
      <c r="AS12" s="39">
        <f>SUM(AJ13:AJ13)</f>
        <v>0</v>
      </c>
      <c r="AT12" s="39">
        <f>SUM(AK13:AK13)</f>
        <v>0</v>
      </c>
      <c r="AU12" s="39">
        <f>SUM(AL13:AL13)</f>
        <v>0</v>
      </c>
    </row>
    <row r="13" spans="1:76" x14ac:dyDescent="0.25">
      <c r="A13" s="1" t="s">
        <v>139</v>
      </c>
      <c r="B13" s="2" t="s">
        <v>18</v>
      </c>
      <c r="C13" s="2" t="s">
        <v>140</v>
      </c>
      <c r="D13" s="74" t="s">
        <v>141</v>
      </c>
      <c r="E13" s="69"/>
      <c r="F13" s="2" t="s">
        <v>142</v>
      </c>
      <c r="G13" s="14">
        <v>48.55</v>
      </c>
      <c r="H13" s="14">
        <v>0</v>
      </c>
      <c r="I13" s="14">
        <f>G13*H13</f>
        <v>0</v>
      </c>
      <c r="K13" s="52"/>
      <c r="Z13" s="14">
        <f>IF(AQ13="5",BJ13,0)</f>
        <v>0</v>
      </c>
      <c r="AB13" s="14">
        <f>IF(AQ13="1",BH13,0)</f>
        <v>0</v>
      </c>
      <c r="AC13" s="14">
        <f>IF(AQ13="1",BI13,0)</f>
        <v>0</v>
      </c>
      <c r="AD13" s="14">
        <f>IF(AQ13="7",BH13,0)</f>
        <v>0</v>
      </c>
      <c r="AE13" s="14">
        <f>IF(AQ13="7",BI13,0)</f>
        <v>0</v>
      </c>
      <c r="AF13" s="14">
        <f>IF(AQ13="2",BH13,0)</f>
        <v>0</v>
      </c>
      <c r="AG13" s="14">
        <f>IF(AQ13="2",BI13,0)</f>
        <v>0</v>
      </c>
      <c r="AH13" s="14">
        <f>IF(AQ13="0",BJ13,0)</f>
        <v>0</v>
      </c>
      <c r="AI13" s="46" t="s">
        <v>18</v>
      </c>
      <c r="AJ13" s="14">
        <f>IF(AN13=0,I13,0)</f>
        <v>0</v>
      </c>
      <c r="AK13" s="14">
        <f>IF(AN13=12,I13,0)</f>
        <v>0</v>
      </c>
      <c r="AL13" s="14">
        <f>IF(AN13=21,I13,0)</f>
        <v>0</v>
      </c>
      <c r="AN13" s="14">
        <v>21</v>
      </c>
      <c r="AO13" s="14">
        <f>H13*0.052971617</f>
        <v>0</v>
      </c>
      <c r="AP13" s="14">
        <f>H13*(1-0.052971617)</f>
        <v>0</v>
      </c>
      <c r="AQ13" s="13" t="s">
        <v>139</v>
      </c>
      <c r="AV13" s="14">
        <f>AW13+AX13</f>
        <v>0</v>
      </c>
      <c r="AW13" s="14">
        <f>G13*AO13</f>
        <v>0</v>
      </c>
      <c r="AX13" s="14">
        <f>G13*AP13</f>
        <v>0</v>
      </c>
      <c r="AY13" s="13" t="s">
        <v>143</v>
      </c>
      <c r="AZ13" s="13" t="s">
        <v>144</v>
      </c>
      <c r="BA13" s="46" t="s">
        <v>145</v>
      </c>
      <c r="BC13" s="14">
        <f>AW13+AX13</f>
        <v>0</v>
      </c>
      <c r="BD13" s="14">
        <f>H13/(100-BE13)*100</f>
        <v>0</v>
      </c>
      <c r="BE13" s="14">
        <v>0</v>
      </c>
      <c r="BF13" s="14">
        <f>13</f>
        <v>13</v>
      </c>
      <c r="BH13" s="14">
        <f>G13*AO13</f>
        <v>0</v>
      </c>
      <c r="BI13" s="14">
        <f>G13*AP13</f>
        <v>0</v>
      </c>
      <c r="BJ13" s="14">
        <f>G13*H13</f>
        <v>0</v>
      </c>
      <c r="BK13" s="14"/>
      <c r="BL13" s="14">
        <v>21</v>
      </c>
      <c r="BW13" s="14">
        <v>21</v>
      </c>
      <c r="BX13" s="4" t="s">
        <v>141</v>
      </c>
    </row>
    <row r="14" spans="1:76" x14ac:dyDescent="0.25">
      <c r="A14" s="57" t="s">
        <v>18</v>
      </c>
      <c r="B14" s="58" t="s">
        <v>18</v>
      </c>
      <c r="C14" s="58" t="s">
        <v>22</v>
      </c>
      <c r="D14" s="144" t="s">
        <v>23</v>
      </c>
      <c r="E14" s="145"/>
      <c r="F14" s="59" t="s">
        <v>3</v>
      </c>
      <c r="G14" s="59" t="s">
        <v>3</v>
      </c>
      <c r="H14" s="59" t="s">
        <v>3</v>
      </c>
      <c r="I14" s="39">
        <f>SUM(I15:I24)</f>
        <v>0</v>
      </c>
      <c r="K14" s="52"/>
      <c r="AI14" s="46" t="s">
        <v>18</v>
      </c>
      <c r="AS14" s="39">
        <f>SUM(AJ15:AJ24)</f>
        <v>0</v>
      </c>
      <c r="AT14" s="39">
        <f>SUM(AK15:AK24)</f>
        <v>0</v>
      </c>
      <c r="AU14" s="39">
        <f>SUM(AL15:AL24)</f>
        <v>0</v>
      </c>
    </row>
    <row r="15" spans="1:76" x14ac:dyDescent="0.25">
      <c r="A15" s="1" t="s">
        <v>146</v>
      </c>
      <c r="B15" s="2" t="s">
        <v>18</v>
      </c>
      <c r="C15" s="2" t="s">
        <v>147</v>
      </c>
      <c r="D15" s="74" t="s">
        <v>148</v>
      </c>
      <c r="E15" s="69"/>
      <c r="F15" s="2" t="s">
        <v>149</v>
      </c>
      <c r="G15" s="14">
        <v>2.3519999999999999</v>
      </c>
      <c r="H15" s="14">
        <v>0</v>
      </c>
      <c r="I15" s="14">
        <f>G15*H15</f>
        <v>0</v>
      </c>
      <c r="K15" s="52"/>
      <c r="Z15" s="14">
        <f>IF(AQ15="5",BJ15,0)</f>
        <v>0</v>
      </c>
      <c r="AB15" s="14">
        <f>IF(AQ15="1",BH15,0)</f>
        <v>0</v>
      </c>
      <c r="AC15" s="14">
        <f>IF(AQ15="1",BI15,0)</f>
        <v>0</v>
      </c>
      <c r="AD15" s="14">
        <f>IF(AQ15="7",BH15,0)</f>
        <v>0</v>
      </c>
      <c r="AE15" s="14">
        <f>IF(AQ15="7",BI15,0)</f>
        <v>0</v>
      </c>
      <c r="AF15" s="14">
        <f>IF(AQ15="2",BH15,0)</f>
        <v>0</v>
      </c>
      <c r="AG15" s="14">
        <f>IF(AQ15="2",BI15,0)</f>
        <v>0</v>
      </c>
      <c r="AH15" s="14">
        <f>IF(AQ15="0",BJ15,0)</f>
        <v>0</v>
      </c>
      <c r="AI15" s="46" t="s">
        <v>18</v>
      </c>
      <c r="AJ15" s="14">
        <f>IF(AN15=0,I15,0)</f>
        <v>0</v>
      </c>
      <c r="AK15" s="14">
        <f>IF(AN15=12,I15,0)</f>
        <v>0</v>
      </c>
      <c r="AL15" s="14">
        <f>IF(AN15=21,I15,0)</f>
        <v>0</v>
      </c>
      <c r="AN15" s="14">
        <v>21</v>
      </c>
      <c r="AO15" s="14">
        <f>H15*0.759823584</f>
        <v>0</v>
      </c>
      <c r="AP15" s="14">
        <f>H15*(1-0.759823584)</f>
        <v>0</v>
      </c>
      <c r="AQ15" s="13" t="s">
        <v>139</v>
      </c>
      <c r="AV15" s="14">
        <f>AW15+AX15</f>
        <v>0</v>
      </c>
      <c r="AW15" s="14">
        <f>G15*AO15</f>
        <v>0</v>
      </c>
      <c r="AX15" s="14">
        <f>G15*AP15</f>
        <v>0</v>
      </c>
      <c r="AY15" s="13" t="s">
        <v>150</v>
      </c>
      <c r="AZ15" s="13" t="s">
        <v>151</v>
      </c>
      <c r="BA15" s="46" t="s">
        <v>145</v>
      </c>
      <c r="BC15" s="14">
        <f>AW15+AX15</f>
        <v>0</v>
      </c>
      <c r="BD15" s="14">
        <f>H15/(100-BE15)*100</f>
        <v>0</v>
      </c>
      <c r="BE15" s="14">
        <v>0</v>
      </c>
      <c r="BF15" s="14">
        <f>15</f>
        <v>15</v>
      </c>
      <c r="BH15" s="14">
        <f>G15*AO15</f>
        <v>0</v>
      </c>
      <c r="BI15" s="14">
        <f>G15*AP15</f>
        <v>0</v>
      </c>
      <c r="BJ15" s="14">
        <f>G15*H15</f>
        <v>0</v>
      </c>
      <c r="BK15" s="14"/>
      <c r="BL15" s="14">
        <v>31</v>
      </c>
      <c r="BW15" s="14">
        <v>21</v>
      </c>
      <c r="BX15" s="4" t="s">
        <v>148</v>
      </c>
    </row>
    <row r="16" spans="1:76" x14ac:dyDescent="0.25">
      <c r="A16" s="60"/>
      <c r="D16" s="61" t="s">
        <v>152</v>
      </c>
      <c r="E16" s="61" t="s">
        <v>18</v>
      </c>
      <c r="G16" s="62">
        <v>2.3519999999999999</v>
      </c>
      <c r="K16" s="52"/>
    </row>
    <row r="17" spans="1:76" x14ac:dyDescent="0.25">
      <c r="A17" s="1" t="s">
        <v>153</v>
      </c>
      <c r="B17" s="2" t="s">
        <v>18</v>
      </c>
      <c r="C17" s="2" t="s">
        <v>154</v>
      </c>
      <c r="D17" s="74" t="s">
        <v>155</v>
      </c>
      <c r="E17" s="69"/>
      <c r="F17" s="2" t="s">
        <v>142</v>
      </c>
      <c r="G17" s="14">
        <v>6.04</v>
      </c>
      <c r="H17" s="14">
        <v>0</v>
      </c>
      <c r="I17" s="14">
        <f>G17*H17</f>
        <v>0</v>
      </c>
      <c r="K17" s="52"/>
      <c r="Z17" s="14">
        <f>IF(AQ17="5",BJ17,0)</f>
        <v>0</v>
      </c>
      <c r="AB17" s="14">
        <f>IF(AQ17="1",BH17,0)</f>
        <v>0</v>
      </c>
      <c r="AC17" s="14">
        <f>IF(AQ17="1",BI17,0)</f>
        <v>0</v>
      </c>
      <c r="AD17" s="14">
        <f>IF(AQ17="7",BH17,0)</f>
        <v>0</v>
      </c>
      <c r="AE17" s="14">
        <f>IF(AQ17="7",BI17,0)</f>
        <v>0</v>
      </c>
      <c r="AF17" s="14">
        <f>IF(AQ17="2",BH17,0)</f>
        <v>0</v>
      </c>
      <c r="AG17" s="14">
        <f>IF(AQ17="2",BI17,0)</f>
        <v>0</v>
      </c>
      <c r="AH17" s="14">
        <f>IF(AQ17="0",BJ17,0)</f>
        <v>0</v>
      </c>
      <c r="AI17" s="46" t="s">
        <v>18</v>
      </c>
      <c r="AJ17" s="14">
        <f>IF(AN17=0,I17,0)</f>
        <v>0</v>
      </c>
      <c r="AK17" s="14">
        <f>IF(AN17=12,I17,0)</f>
        <v>0</v>
      </c>
      <c r="AL17" s="14">
        <f>IF(AN17=21,I17,0)</f>
        <v>0</v>
      </c>
      <c r="AN17" s="14">
        <v>21</v>
      </c>
      <c r="AO17" s="14">
        <f>H17*0.155792737</f>
        <v>0</v>
      </c>
      <c r="AP17" s="14">
        <f>H17*(1-0.155792737)</f>
        <v>0</v>
      </c>
      <c r="AQ17" s="13" t="s">
        <v>139</v>
      </c>
      <c r="AV17" s="14">
        <f>AW17+AX17</f>
        <v>0</v>
      </c>
      <c r="AW17" s="14">
        <f>G17*AO17</f>
        <v>0</v>
      </c>
      <c r="AX17" s="14">
        <f>G17*AP17</f>
        <v>0</v>
      </c>
      <c r="AY17" s="13" t="s">
        <v>150</v>
      </c>
      <c r="AZ17" s="13" t="s">
        <v>151</v>
      </c>
      <c r="BA17" s="46" t="s">
        <v>145</v>
      </c>
      <c r="BC17" s="14">
        <f>AW17+AX17</f>
        <v>0</v>
      </c>
      <c r="BD17" s="14">
        <f>H17/(100-BE17)*100</f>
        <v>0</v>
      </c>
      <c r="BE17" s="14">
        <v>0</v>
      </c>
      <c r="BF17" s="14">
        <f>17</f>
        <v>17</v>
      </c>
      <c r="BH17" s="14">
        <f>G17*AO17</f>
        <v>0</v>
      </c>
      <c r="BI17" s="14">
        <f>G17*AP17</f>
        <v>0</v>
      </c>
      <c r="BJ17" s="14">
        <f>G17*H17</f>
        <v>0</v>
      </c>
      <c r="BK17" s="14"/>
      <c r="BL17" s="14">
        <v>31</v>
      </c>
      <c r="BW17" s="14">
        <v>21</v>
      </c>
      <c r="BX17" s="4" t="s">
        <v>155</v>
      </c>
    </row>
    <row r="18" spans="1:76" x14ac:dyDescent="0.25">
      <c r="A18" s="60"/>
      <c r="D18" s="61" t="s">
        <v>156</v>
      </c>
      <c r="E18" s="61" t="s">
        <v>18</v>
      </c>
      <c r="G18" s="62">
        <v>5.88</v>
      </c>
      <c r="K18" s="52"/>
    </row>
    <row r="19" spans="1:76" x14ac:dyDescent="0.25">
      <c r="A19" s="60"/>
      <c r="D19" s="61" t="s">
        <v>157</v>
      </c>
      <c r="E19" s="61" t="s">
        <v>18</v>
      </c>
      <c r="G19" s="62">
        <v>0.16</v>
      </c>
      <c r="K19" s="52"/>
    </row>
    <row r="20" spans="1:76" x14ac:dyDescent="0.25">
      <c r="A20" s="1" t="s">
        <v>158</v>
      </c>
      <c r="B20" s="2" t="s">
        <v>18</v>
      </c>
      <c r="C20" s="2" t="s">
        <v>159</v>
      </c>
      <c r="D20" s="74" t="s">
        <v>160</v>
      </c>
      <c r="E20" s="69"/>
      <c r="F20" s="2" t="s">
        <v>142</v>
      </c>
      <c r="G20" s="14">
        <v>6.04</v>
      </c>
      <c r="H20" s="14">
        <v>0</v>
      </c>
      <c r="I20" s="14">
        <f>G20*H20</f>
        <v>0</v>
      </c>
      <c r="K20" s="52"/>
      <c r="Z20" s="14">
        <f>IF(AQ20="5",BJ20,0)</f>
        <v>0</v>
      </c>
      <c r="AB20" s="14">
        <f>IF(AQ20="1",BH20,0)</f>
        <v>0</v>
      </c>
      <c r="AC20" s="14">
        <f>IF(AQ20="1",BI20,0)</f>
        <v>0</v>
      </c>
      <c r="AD20" s="14">
        <f>IF(AQ20="7",BH20,0)</f>
        <v>0</v>
      </c>
      <c r="AE20" s="14">
        <f>IF(AQ20="7",BI20,0)</f>
        <v>0</v>
      </c>
      <c r="AF20" s="14">
        <f>IF(AQ20="2",BH20,0)</f>
        <v>0</v>
      </c>
      <c r="AG20" s="14">
        <f>IF(AQ20="2",BI20,0)</f>
        <v>0</v>
      </c>
      <c r="AH20" s="14">
        <f>IF(AQ20="0",BJ20,0)</f>
        <v>0</v>
      </c>
      <c r="AI20" s="46" t="s">
        <v>18</v>
      </c>
      <c r="AJ20" s="14">
        <f>IF(AN20=0,I20,0)</f>
        <v>0</v>
      </c>
      <c r="AK20" s="14">
        <f>IF(AN20=12,I20,0)</f>
        <v>0</v>
      </c>
      <c r="AL20" s="14">
        <f>IF(AN20=21,I20,0)</f>
        <v>0</v>
      </c>
      <c r="AN20" s="14">
        <v>21</v>
      </c>
      <c r="AO20" s="14">
        <f>H20*0</f>
        <v>0</v>
      </c>
      <c r="AP20" s="14">
        <f>H20*(1-0)</f>
        <v>0</v>
      </c>
      <c r="AQ20" s="13" t="s">
        <v>139</v>
      </c>
      <c r="AV20" s="14">
        <f>AW20+AX20</f>
        <v>0</v>
      </c>
      <c r="AW20" s="14">
        <f>G20*AO20</f>
        <v>0</v>
      </c>
      <c r="AX20" s="14">
        <f>G20*AP20</f>
        <v>0</v>
      </c>
      <c r="AY20" s="13" t="s">
        <v>150</v>
      </c>
      <c r="AZ20" s="13" t="s">
        <v>151</v>
      </c>
      <c r="BA20" s="46" t="s">
        <v>145</v>
      </c>
      <c r="BC20" s="14">
        <f>AW20+AX20</f>
        <v>0</v>
      </c>
      <c r="BD20" s="14">
        <f>H20/(100-BE20)*100</f>
        <v>0</v>
      </c>
      <c r="BE20" s="14">
        <v>0</v>
      </c>
      <c r="BF20" s="14">
        <f>20</f>
        <v>20</v>
      </c>
      <c r="BH20" s="14">
        <f>G20*AO20</f>
        <v>0</v>
      </c>
      <c r="BI20" s="14">
        <f>G20*AP20</f>
        <v>0</v>
      </c>
      <c r="BJ20" s="14">
        <f>G20*H20</f>
        <v>0</v>
      </c>
      <c r="BK20" s="14"/>
      <c r="BL20" s="14">
        <v>31</v>
      </c>
      <c r="BW20" s="14">
        <v>21</v>
      </c>
      <c r="BX20" s="4" t="s">
        <v>160</v>
      </c>
    </row>
    <row r="21" spans="1:76" x14ac:dyDescent="0.25">
      <c r="A21" s="1" t="s">
        <v>161</v>
      </c>
      <c r="B21" s="2" t="s">
        <v>18</v>
      </c>
      <c r="C21" s="2" t="s">
        <v>162</v>
      </c>
      <c r="D21" s="74" t="s">
        <v>163</v>
      </c>
      <c r="E21" s="69"/>
      <c r="F21" s="2" t="s">
        <v>164</v>
      </c>
      <c r="G21" s="14">
        <v>0.10299999999999999</v>
      </c>
      <c r="H21" s="14">
        <v>0</v>
      </c>
      <c r="I21" s="14">
        <f>G21*H21</f>
        <v>0</v>
      </c>
      <c r="K21" s="52"/>
      <c r="Z21" s="14">
        <f>IF(AQ21="5",BJ21,0)</f>
        <v>0</v>
      </c>
      <c r="AB21" s="14">
        <f>IF(AQ21="1",BH21,0)</f>
        <v>0</v>
      </c>
      <c r="AC21" s="14">
        <f>IF(AQ21="1",BI21,0)</f>
        <v>0</v>
      </c>
      <c r="AD21" s="14">
        <f>IF(AQ21="7",BH21,0)</f>
        <v>0</v>
      </c>
      <c r="AE21" s="14">
        <f>IF(AQ21="7",BI21,0)</f>
        <v>0</v>
      </c>
      <c r="AF21" s="14">
        <f>IF(AQ21="2",BH21,0)</f>
        <v>0</v>
      </c>
      <c r="AG21" s="14">
        <f>IF(AQ21="2",BI21,0)</f>
        <v>0</v>
      </c>
      <c r="AH21" s="14">
        <f>IF(AQ21="0",BJ21,0)</f>
        <v>0</v>
      </c>
      <c r="AI21" s="46" t="s">
        <v>18</v>
      </c>
      <c r="AJ21" s="14">
        <f>IF(AN21=0,I21,0)</f>
        <v>0</v>
      </c>
      <c r="AK21" s="14">
        <f>IF(AN21=12,I21,0)</f>
        <v>0</v>
      </c>
      <c r="AL21" s="14">
        <f>IF(AN21=21,I21,0)</f>
        <v>0</v>
      </c>
      <c r="AN21" s="14">
        <v>21</v>
      </c>
      <c r="AO21" s="14">
        <f>H21*0.778255426</f>
        <v>0</v>
      </c>
      <c r="AP21" s="14">
        <f>H21*(1-0.778255426)</f>
        <v>0</v>
      </c>
      <c r="AQ21" s="13" t="s">
        <v>139</v>
      </c>
      <c r="AV21" s="14">
        <f>AW21+AX21</f>
        <v>0</v>
      </c>
      <c r="AW21" s="14">
        <f>G21*AO21</f>
        <v>0</v>
      </c>
      <c r="AX21" s="14">
        <f>G21*AP21</f>
        <v>0</v>
      </c>
      <c r="AY21" s="13" t="s">
        <v>150</v>
      </c>
      <c r="AZ21" s="13" t="s">
        <v>151</v>
      </c>
      <c r="BA21" s="46" t="s">
        <v>145</v>
      </c>
      <c r="BC21" s="14">
        <f>AW21+AX21</f>
        <v>0</v>
      </c>
      <c r="BD21" s="14">
        <f>H21/(100-BE21)*100</f>
        <v>0</v>
      </c>
      <c r="BE21" s="14">
        <v>0</v>
      </c>
      <c r="BF21" s="14">
        <f>21</f>
        <v>21</v>
      </c>
      <c r="BH21" s="14">
        <f>G21*AO21</f>
        <v>0</v>
      </c>
      <c r="BI21" s="14">
        <f>G21*AP21</f>
        <v>0</v>
      </c>
      <c r="BJ21" s="14">
        <f>G21*H21</f>
        <v>0</v>
      </c>
      <c r="BK21" s="14"/>
      <c r="BL21" s="14">
        <v>31</v>
      </c>
      <c r="BW21" s="14">
        <v>21</v>
      </c>
      <c r="BX21" s="4" t="s">
        <v>163</v>
      </c>
    </row>
    <row r="22" spans="1:76" ht="13.5" customHeight="1" x14ac:dyDescent="0.25">
      <c r="A22" s="60"/>
      <c r="C22" s="63" t="s">
        <v>165</v>
      </c>
      <c r="D22" s="147" t="s">
        <v>166</v>
      </c>
      <c r="E22" s="148"/>
      <c r="F22" s="148"/>
      <c r="G22" s="148"/>
      <c r="H22" s="148"/>
      <c r="I22" s="148"/>
      <c r="J22" s="148"/>
      <c r="K22" s="149"/>
    </row>
    <row r="23" spans="1:76" x14ac:dyDescent="0.25">
      <c r="A23" s="60"/>
      <c r="D23" s="61" t="s">
        <v>167</v>
      </c>
      <c r="E23" s="61" t="s">
        <v>18</v>
      </c>
      <c r="G23" s="62">
        <v>0.10299999999999999</v>
      </c>
      <c r="K23" s="52"/>
    </row>
    <row r="24" spans="1:76" x14ac:dyDescent="0.25">
      <c r="A24" s="1" t="s">
        <v>168</v>
      </c>
      <c r="B24" s="2" t="s">
        <v>18</v>
      </c>
      <c r="C24" s="2" t="s">
        <v>169</v>
      </c>
      <c r="D24" s="74" t="s">
        <v>170</v>
      </c>
      <c r="E24" s="69"/>
      <c r="F24" s="2" t="s">
        <v>142</v>
      </c>
      <c r="G24" s="14">
        <v>25.67</v>
      </c>
      <c r="H24" s="14">
        <v>0</v>
      </c>
      <c r="I24" s="14">
        <f>G24*H24</f>
        <v>0</v>
      </c>
      <c r="K24" s="52"/>
      <c r="Z24" s="14">
        <f>IF(AQ24="5",BJ24,0)</f>
        <v>0</v>
      </c>
      <c r="AB24" s="14">
        <f>IF(AQ24="1",BH24,0)</f>
        <v>0</v>
      </c>
      <c r="AC24" s="14">
        <f>IF(AQ24="1",BI24,0)</f>
        <v>0</v>
      </c>
      <c r="AD24" s="14">
        <f>IF(AQ24="7",BH24,0)</f>
        <v>0</v>
      </c>
      <c r="AE24" s="14">
        <f>IF(AQ24="7",BI24,0)</f>
        <v>0</v>
      </c>
      <c r="AF24" s="14">
        <f>IF(AQ24="2",BH24,0)</f>
        <v>0</v>
      </c>
      <c r="AG24" s="14">
        <f>IF(AQ24="2",BI24,0)</f>
        <v>0</v>
      </c>
      <c r="AH24" s="14">
        <f>IF(AQ24="0",BJ24,0)</f>
        <v>0</v>
      </c>
      <c r="AI24" s="46" t="s">
        <v>18</v>
      </c>
      <c r="AJ24" s="14">
        <f>IF(AN24=0,I24,0)</f>
        <v>0</v>
      </c>
      <c r="AK24" s="14">
        <f>IF(AN24=12,I24,0)</f>
        <v>0</v>
      </c>
      <c r="AL24" s="14">
        <f>IF(AN24=21,I24,0)</f>
        <v>0</v>
      </c>
      <c r="AN24" s="14">
        <v>21</v>
      </c>
      <c r="AO24" s="14">
        <f>H24*0.803759124</f>
        <v>0</v>
      </c>
      <c r="AP24" s="14">
        <f>H24*(1-0.803759124)</f>
        <v>0</v>
      </c>
      <c r="AQ24" s="13" t="s">
        <v>139</v>
      </c>
      <c r="AV24" s="14">
        <f>AW24+AX24</f>
        <v>0</v>
      </c>
      <c r="AW24" s="14">
        <f>G24*AO24</f>
        <v>0</v>
      </c>
      <c r="AX24" s="14">
        <f>G24*AP24</f>
        <v>0</v>
      </c>
      <c r="AY24" s="13" t="s">
        <v>150</v>
      </c>
      <c r="AZ24" s="13" t="s">
        <v>151</v>
      </c>
      <c r="BA24" s="46" t="s">
        <v>145</v>
      </c>
      <c r="BC24" s="14">
        <f>AW24+AX24</f>
        <v>0</v>
      </c>
      <c r="BD24" s="14">
        <f>H24/(100-BE24)*100</f>
        <v>0</v>
      </c>
      <c r="BE24" s="14">
        <v>0</v>
      </c>
      <c r="BF24" s="14">
        <f>24</f>
        <v>24</v>
      </c>
      <c r="BH24" s="14">
        <f>G24*AO24</f>
        <v>0</v>
      </c>
      <c r="BI24" s="14">
        <f>G24*AP24</f>
        <v>0</v>
      </c>
      <c r="BJ24" s="14">
        <f>G24*H24</f>
        <v>0</v>
      </c>
      <c r="BK24" s="14"/>
      <c r="BL24" s="14">
        <v>31</v>
      </c>
      <c r="BW24" s="14">
        <v>21</v>
      </c>
      <c r="BX24" s="4" t="s">
        <v>170</v>
      </c>
    </row>
    <row r="25" spans="1:76" ht="13.5" customHeight="1" x14ac:dyDescent="0.25">
      <c r="A25" s="60"/>
      <c r="C25" s="63" t="s">
        <v>165</v>
      </c>
      <c r="D25" s="147" t="s">
        <v>260</v>
      </c>
      <c r="E25" s="148"/>
      <c r="F25" s="148"/>
      <c r="G25" s="148"/>
      <c r="H25" s="148"/>
      <c r="I25" s="148"/>
      <c r="J25" s="148"/>
      <c r="K25" s="149"/>
    </row>
    <row r="26" spans="1:76" x14ac:dyDescent="0.25">
      <c r="A26" s="60"/>
      <c r="D26" s="61" t="s">
        <v>171</v>
      </c>
      <c r="E26" s="61" t="s">
        <v>18</v>
      </c>
      <c r="G26" s="62">
        <v>21.47</v>
      </c>
      <c r="K26" s="52"/>
    </row>
    <row r="27" spans="1:76" x14ac:dyDescent="0.25">
      <c r="A27" s="60"/>
      <c r="D27" s="61" t="s">
        <v>172</v>
      </c>
      <c r="E27" s="61" t="s">
        <v>18</v>
      </c>
      <c r="G27" s="62">
        <v>4.2</v>
      </c>
      <c r="K27" s="52"/>
    </row>
    <row r="28" spans="1:76" x14ac:dyDescent="0.25">
      <c r="A28" s="57" t="s">
        <v>18</v>
      </c>
      <c r="B28" s="58" t="s">
        <v>18</v>
      </c>
      <c r="C28" s="58" t="s">
        <v>24</v>
      </c>
      <c r="D28" s="144" t="s">
        <v>25</v>
      </c>
      <c r="E28" s="145"/>
      <c r="F28" s="59" t="s">
        <v>3</v>
      </c>
      <c r="G28" s="59" t="s">
        <v>3</v>
      </c>
      <c r="H28" s="59" t="s">
        <v>3</v>
      </c>
      <c r="I28" s="39">
        <f>SUM(I29:I29)</f>
        <v>0</v>
      </c>
      <c r="K28" s="52"/>
      <c r="AI28" s="46" t="s">
        <v>18</v>
      </c>
      <c r="AS28" s="39">
        <f>SUM(AJ29:AJ29)</f>
        <v>0</v>
      </c>
      <c r="AT28" s="39">
        <f>SUM(AK29:AK29)</f>
        <v>0</v>
      </c>
      <c r="AU28" s="39">
        <f>SUM(AL29:AL29)</f>
        <v>0</v>
      </c>
    </row>
    <row r="29" spans="1:76" x14ac:dyDescent="0.25">
      <c r="A29" s="1" t="s">
        <v>173</v>
      </c>
      <c r="B29" s="2" t="s">
        <v>18</v>
      </c>
      <c r="C29" s="2" t="s">
        <v>174</v>
      </c>
      <c r="D29" s="74" t="s">
        <v>175</v>
      </c>
      <c r="E29" s="69"/>
      <c r="F29" s="2" t="s">
        <v>164</v>
      </c>
      <c r="G29" s="14">
        <v>1.6E-2</v>
      </c>
      <c r="H29" s="14">
        <v>0</v>
      </c>
      <c r="I29" s="14">
        <f>G29*H29</f>
        <v>0</v>
      </c>
      <c r="K29" s="52"/>
      <c r="Z29" s="14">
        <f>IF(AQ29="5",BJ29,0)</f>
        <v>0</v>
      </c>
      <c r="AB29" s="14">
        <f>IF(AQ29="1",BH29,0)</f>
        <v>0</v>
      </c>
      <c r="AC29" s="14">
        <f>IF(AQ29="1",BI29,0)</f>
        <v>0</v>
      </c>
      <c r="AD29" s="14">
        <f>IF(AQ29="7",BH29,0)</f>
        <v>0</v>
      </c>
      <c r="AE29" s="14">
        <f>IF(AQ29="7",BI29,0)</f>
        <v>0</v>
      </c>
      <c r="AF29" s="14">
        <f>IF(AQ29="2",BH29,0)</f>
        <v>0</v>
      </c>
      <c r="AG29" s="14">
        <f>IF(AQ29="2",BI29,0)</f>
        <v>0</v>
      </c>
      <c r="AH29" s="14">
        <f>IF(AQ29="0",BJ29,0)</f>
        <v>0</v>
      </c>
      <c r="AI29" s="46" t="s">
        <v>18</v>
      </c>
      <c r="AJ29" s="14">
        <f>IF(AN29=0,I29,0)</f>
        <v>0</v>
      </c>
      <c r="AK29" s="14">
        <f>IF(AN29=12,I29,0)</f>
        <v>0</v>
      </c>
      <c r="AL29" s="14">
        <f>IF(AN29=21,I29,0)</f>
        <v>0</v>
      </c>
      <c r="AN29" s="14">
        <v>21</v>
      </c>
      <c r="AO29" s="14">
        <f>H29*0.729231463</f>
        <v>0</v>
      </c>
      <c r="AP29" s="14">
        <f>H29*(1-0.729231463)</f>
        <v>0</v>
      </c>
      <c r="AQ29" s="13" t="s">
        <v>139</v>
      </c>
      <c r="AV29" s="14">
        <f>AW29+AX29</f>
        <v>0</v>
      </c>
      <c r="AW29" s="14">
        <f>G29*AO29</f>
        <v>0</v>
      </c>
      <c r="AX29" s="14">
        <f>G29*AP29</f>
        <v>0</v>
      </c>
      <c r="AY29" s="13" t="s">
        <v>176</v>
      </c>
      <c r="AZ29" s="13" t="s">
        <v>151</v>
      </c>
      <c r="BA29" s="46" t="s">
        <v>145</v>
      </c>
      <c r="BC29" s="14">
        <f>AW29+AX29</f>
        <v>0</v>
      </c>
      <c r="BD29" s="14">
        <f>H29/(100-BE29)*100</f>
        <v>0</v>
      </c>
      <c r="BE29" s="14">
        <v>0</v>
      </c>
      <c r="BF29" s="14">
        <f>29</f>
        <v>29</v>
      </c>
      <c r="BH29" s="14">
        <f>G29*AO29</f>
        <v>0</v>
      </c>
      <c r="BI29" s="14">
        <f>G29*AP29</f>
        <v>0</v>
      </c>
      <c r="BJ29" s="14">
        <f>G29*H29</f>
        <v>0</v>
      </c>
      <c r="BK29" s="14"/>
      <c r="BL29" s="14">
        <v>34</v>
      </c>
      <c r="BW29" s="14">
        <v>21</v>
      </c>
      <c r="BX29" s="4" t="s">
        <v>175</v>
      </c>
    </row>
    <row r="30" spans="1:76" x14ac:dyDescent="0.25">
      <c r="A30" s="60"/>
      <c r="D30" s="61" t="s">
        <v>177</v>
      </c>
      <c r="E30" s="61" t="s">
        <v>18</v>
      </c>
      <c r="G30" s="62">
        <v>0</v>
      </c>
      <c r="K30" s="52"/>
    </row>
    <row r="31" spans="1:76" x14ac:dyDescent="0.25">
      <c r="A31" s="60"/>
      <c r="D31" s="61" t="s">
        <v>178</v>
      </c>
      <c r="E31" s="61" t="s">
        <v>18</v>
      </c>
      <c r="G31" s="62">
        <v>1.6E-2</v>
      </c>
      <c r="K31" s="52"/>
    </row>
    <row r="32" spans="1:76" x14ac:dyDescent="0.25">
      <c r="A32" s="57" t="s">
        <v>18</v>
      </c>
      <c r="B32" s="58" t="s">
        <v>18</v>
      </c>
      <c r="C32" s="58" t="s">
        <v>26</v>
      </c>
      <c r="D32" s="144" t="s">
        <v>27</v>
      </c>
      <c r="E32" s="145"/>
      <c r="F32" s="59" t="s">
        <v>3</v>
      </c>
      <c r="G32" s="59" t="s">
        <v>3</v>
      </c>
      <c r="H32" s="59" t="s">
        <v>3</v>
      </c>
      <c r="I32" s="39">
        <f>SUM(I33:I33)</f>
        <v>0</v>
      </c>
      <c r="K32" s="52"/>
      <c r="AI32" s="46" t="s">
        <v>18</v>
      </c>
      <c r="AS32" s="39">
        <f>SUM(AJ33:AJ33)</f>
        <v>0</v>
      </c>
      <c r="AT32" s="39">
        <f>SUM(AK33:AK33)</f>
        <v>0</v>
      </c>
      <c r="AU32" s="39">
        <f>SUM(AL33:AL33)</f>
        <v>0</v>
      </c>
    </row>
    <row r="33" spans="1:76" x14ac:dyDescent="0.25">
      <c r="A33" s="1" t="s">
        <v>179</v>
      </c>
      <c r="B33" s="2" t="s">
        <v>18</v>
      </c>
      <c r="C33" s="2" t="s">
        <v>180</v>
      </c>
      <c r="D33" s="74" t="s">
        <v>181</v>
      </c>
      <c r="E33" s="69"/>
      <c r="F33" s="2" t="s">
        <v>182</v>
      </c>
      <c r="G33" s="14">
        <v>2</v>
      </c>
      <c r="H33" s="14">
        <v>0</v>
      </c>
      <c r="I33" s="14">
        <f>G33*H33</f>
        <v>0</v>
      </c>
      <c r="K33" s="52"/>
      <c r="Z33" s="14">
        <f>IF(AQ33="5",BJ33,0)</f>
        <v>0</v>
      </c>
      <c r="AB33" s="14">
        <f>IF(AQ33="1",BH33,0)</f>
        <v>0</v>
      </c>
      <c r="AC33" s="14">
        <f>IF(AQ33="1",BI33,0)</f>
        <v>0</v>
      </c>
      <c r="AD33" s="14">
        <f>IF(AQ33="7",BH33,0)</f>
        <v>0</v>
      </c>
      <c r="AE33" s="14">
        <f>IF(AQ33="7",BI33,0)</f>
        <v>0</v>
      </c>
      <c r="AF33" s="14">
        <f>IF(AQ33="2",BH33,0)</f>
        <v>0</v>
      </c>
      <c r="AG33" s="14">
        <f>IF(AQ33="2",BI33,0)</f>
        <v>0</v>
      </c>
      <c r="AH33" s="14">
        <f>IF(AQ33="0",BJ33,0)</f>
        <v>0</v>
      </c>
      <c r="AI33" s="46" t="s">
        <v>18</v>
      </c>
      <c r="AJ33" s="14">
        <f>IF(AN33=0,I33,0)</f>
        <v>0</v>
      </c>
      <c r="AK33" s="14">
        <f>IF(AN33=12,I33,0)</f>
        <v>0</v>
      </c>
      <c r="AL33" s="14">
        <f>IF(AN33=21,I33,0)</f>
        <v>0</v>
      </c>
      <c r="AN33" s="14">
        <v>21</v>
      </c>
      <c r="AO33" s="14">
        <f>H33*0.261071017</f>
        <v>0</v>
      </c>
      <c r="AP33" s="14">
        <f>H33*(1-0.261071017)</f>
        <v>0</v>
      </c>
      <c r="AQ33" s="13" t="s">
        <v>139</v>
      </c>
      <c r="AV33" s="14">
        <f>AW33+AX33</f>
        <v>0</v>
      </c>
      <c r="AW33" s="14">
        <f>G33*AO33</f>
        <v>0</v>
      </c>
      <c r="AX33" s="14">
        <f>G33*AP33</f>
        <v>0</v>
      </c>
      <c r="AY33" s="13" t="s">
        <v>183</v>
      </c>
      <c r="AZ33" s="13" t="s">
        <v>151</v>
      </c>
      <c r="BA33" s="46" t="s">
        <v>145</v>
      </c>
      <c r="BC33" s="14">
        <f>AW33+AX33</f>
        <v>0</v>
      </c>
      <c r="BD33" s="14">
        <f>H33/(100-BE33)*100</f>
        <v>0</v>
      </c>
      <c r="BE33" s="14">
        <v>0</v>
      </c>
      <c r="BF33" s="14">
        <f>33</f>
        <v>33</v>
      </c>
      <c r="BH33" s="14">
        <f>G33*AO33</f>
        <v>0</v>
      </c>
      <c r="BI33" s="14">
        <f>G33*AP33</f>
        <v>0</v>
      </c>
      <c r="BJ33" s="14">
        <f>G33*H33</f>
        <v>0</v>
      </c>
      <c r="BK33" s="14"/>
      <c r="BL33" s="14">
        <v>38</v>
      </c>
      <c r="BW33" s="14">
        <v>21</v>
      </c>
      <c r="BX33" s="4" t="s">
        <v>181</v>
      </c>
    </row>
    <row r="34" spans="1:76" ht="13.5" customHeight="1" x14ac:dyDescent="0.25">
      <c r="A34" s="60"/>
      <c r="C34" s="63" t="s">
        <v>165</v>
      </c>
      <c r="D34" s="147" t="s">
        <v>184</v>
      </c>
      <c r="E34" s="148"/>
      <c r="F34" s="148"/>
      <c r="G34" s="148"/>
      <c r="H34" s="148"/>
      <c r="I34" s="148"/>
      <c r="J34" s="148"/>
      <c r="K34" s="149"/>
    </row>
    <row r="35" spans="1:76" x14ac:dyDescent="0.25">
      <c r="A35" s="60"/>
      <c r="D35" s="61" t="s">
        <v>185</v>
      </c>
      <c r="E35" s="61" t="s">
        <v>18</v>
      </c>
      <c r="G35" s="62">
        <v>0</v>
      </c>
      <c r="K35" s="52"/>
    </row>
    <row r="36" spans="1:76" x14ac:dyDescent="0.25">
      <c r="A36" s="60"/>
      <c r="D36" s="61" t="s">
        <v>146</v>
      </c>
      <c r="E36" s="61" t="s">
        <v>18</v>
      </c>
      <c r="G36" s="62">
        <v>2</v>
      </c>
      <c r="K36" s="52"/>
    </row>
    <row r="37" spans="1:76" x14ac:dyDescent="0.25">
      <c r="A37" s="57" t="s">
        <v>18</v>
      </c>
      <c r="B37" s="58" t="s">
        <v>18</v>
      </c>
      <c r="C37" s="58" t="s">
        <v>28</v>
      </c>
      <c r="D37" s="144" t="s">
        <v>29</v>
      </c>
      <c r="E37" s="145"/>
      <c r="F37" s="59" t="s">
        <v>3</v>
      </c>
      <c r="G37" s="59" t="s">
        <v>3</v>
      </c>
      <c r="H37" s="59" t="s">
        <v>3</v>
      </c>
      <c r="I37" s="39">
        <f>SUM(I38:I41)</f>
        <v>0</v>
      </c>
      <c r="K37" s="52"/>
      <c r="AI37" s="46" t="s">
        <v>18</v>
      </c>
      <c r="AS37" s="39">
        <f>SUM(AJ38:AJ41)</f>
        <v>0</v>
      </c>
      <c r="AT37" s="39">
        <f>SUM(AK38:AK41)</f>
        <v>0</v>
      </c>
      <c r="AU37" s="39">
        <f>SUM(AL38:AL41)</f>
        <v>0</v>
      </c>
    </row>
    <row r="38" spans="1:76" x14ac:dyDescent="0.25">
      <c r="A38" s="1" t="s">
        <v>186</v>
      </c>
      <c r="B38" s="2" t="s">
        <v>18</v>
      </c>
      <c r="C38" s="2" t="s">
        <v>187</v>
      </c>
      <c r="D38" s="74" t="s">
        <v>261</v>
      </c>
      <c r="E38" s="69"/>
      <c r="F38" s="2" t="s">
        <v>142</v>
      </c>
      <c r="G38" s="14">
        <v>49.19</v>
      </c>
      <c r="H38" s="14">
        <v>0</v>
      </c>
      <c r="I38" s="14">
        <f>G38*H38</f>
        <v>0</v>
      </c>
      <c r="K38" s="52"/>
      <c r="Z38" s="14">
        <f>IF(AQ38="5",BJ38,0)</f>
        <v>0</v>
      </c>
      <c r="AB38" s="14">
        <f>IF(AQ38="1",BH38,0)</f>
        <v>0</v>
      </c>
      <c r="AC38" s="14">
        <f>IF(AQ38="1",BI38,0)</f>
        <v>0</v>
      </c>
      <c r="AD38" s="14">
        <f>IF(AQ38="7",BH38,0)</f>
        <v>0</v>
      </c>
      <c r="AE38" s="14">
        <f>IF(AQ38="7",BI38,0)</f>
        <v>0</v>
      </c>
      <c r="AF38" s="14">
        <f>IF(AQ38="2",BH38,0)</f>
        <v>0</v>
      </c>
      <c r="AG38" s="14">
        <f>IF(AQ38="2",BI38,0)</f>
        <v>0</v>
      </c>
      <c r="AH38" s="14">
        <f>IF(AQ38="0",BJ38,0)</f>
        <v>0</v>
      </c>
      <c r="AI38" s="46" t="s">
        <v>18</v>
      </c>
      <c r="AJ38" s="14">
        <f>IF(AN38=0,I38,0)</f>
        <v>0</v>
      </c>
      <c r="AK38" s="14">
        <f>IF(AN38=12,I38,0)</f>
        <v>0</v>
      </c>
      <c r="AL38" s="14">
        <f>IF(AN38=21,I38,0)</f>
        <v>0</v>
      </c>
      <c r="AN38" s="14">
        <v>21</v>
      </c>
      <c r="AO38" s="14">
        <f>H38*0.751933925</f>
        <v>0</v>
      </c>
      <c r="AP38" s="14">
        <f>H38*(1-0.751933925)</f>
        <v>0</v>
      </c>
      <c r="AQ38" s="13" t="s">
        <v>139</v>
      </c>
      <c r="AV38" s="14">
        <f>AW38+AX38</f>
        <v>0</v>
      </c>
      <c r="AW38" s="14">
        <f>G38*AO38</f>
        <v>0</v>
      </c>
      <c r="AX38" s="14">
        <f>G38*AP38</f>
        <v>0</v>
      </c>
      <c r="AY38" s="13" t="s">
        <v>189</v>
      </c>
      <c r="AZ38" s="13" t="s">
        <v>190</v>
      </c>
      <c r="BA38" s="46" t="s">
        <v>145</v>
      </c>
      <c r="BC38" s="14">
        <f>AW38+AX38</f>
        <v>0</v>
      </c>
      <c r="BD38" s="14">
        <f>H38/(100-BE38)*100</f>
        <v>0</v>
      </c>
      <c r="BE38" s="14">
        <v>0</v>
      </c>
      <c r="BF38" s="14">
        <f>38</f>
        <v>38</v>
      </c>
      <c r="BH38" s="14">
        <f>G38*AO38</f>
        <v>0</v>
      </c>
      <c r="BI38" s="14">
        <f>G38*AP38</f>
        <v>0</v>
      </c>
      <c r="BJ38" s="14">
        <f>G38*H38</f>
        <v>0</v>
      </c>
      <c r="BK38" s="14"/>
      <c r="BL38" s="14">
        <v>60</v>
      </c>
      <c r="BW38" s="14">
        <v>21</v>
      </c>
      <c r="BX38" s="4" t="s">
        <v>188</v>
      </c>
    </row>
    <row r="39" spans="1:76" x14ac:dyDescent="0.25">
      <c r="A39" s="1" t="s">
        <v>191</v>
      </c>
      <c r="B39" s="2" t="s">
        <v>18</v>
      </c>
      <c r="C39" s="2" t="s">
        <v>192</v>
      </c>
      <c r="D39" s="74" t="s">
        <v>262</v>
      </c>
      <c r="E39" s="69"/>
      <c r="F39" s="2" t="s">
        <v>142</v>
      </c>
      <c r="G39" s="14">
        <v>25.67</v>
      </c>
      <c r="H39" s="14">
        <v>0</v>
      </c>
      <c r="I39" s="14">
        <f>G39*H39</f>
        <v>0</v>
      </c>
      <c r="K39" s="52"/>
      <c r="Z39" s="14">
        <f>IF(AQ39="5",BJ39,0)</f>
        <v>0</v>
      </c>
      <c r="AB39" s="14">
        <f>IF(AQ39="1",BH39,0)</f>
        <v>0</v>
      </c>
      <c r="AC39" s="14">
        <f>IF(AQ39="1",BI39,0)</f>
        <v>0</v>
      </c>
      <c r="AD39" s="14">
        <f>IF(AQ39="7",BH39,0)</f>
        <v>0</v>
      </c>
      <c r="AE39" s="14">
        <f>IF(AQ39="7",BI39,0)</f>
        <v>0</v>
      </c>
      <c r="AF39" s="14">
        <f>IF(AQ39="2",BH39,0)</f>
        <v>0</v>
      </c>
      <c r="AG39" s="14">
        <f>IF(AQ39="2",BI39,0)</f>
        <v>0</v>
      </c>
      <c r="AH39" s="14">
        <f>IF(AQ39="0",BJ39,0)</f>
        <v>0</v>
      </c>
      <c r="AI39" s="46" t="s">
        <v>18</v>
      </c>
      <c r="AJ39" s="14">
        <f>IF(AN39=0,I39,0)</f>
        <v>0</v>
      </c>
      <c r="AK39" s="14">
        <f>IF(AN39=12,I39,0)</f>
        <v>0</v>
      </c>
      <c r="AL39" s="14">
        <f>IF(AN39=21,I39,0)</f>
        <v>0</v>
      </c>
      <c r="AN39" s="14">
        <v>21</v>
      </c>
      <c r="AO39" s="14">
        <f>H39*0.371509434</f>
        <v>0</v>
      </c>
      <c r="AP39" s="14">
        <f>H39*(1-0.371509434)</f>
        <v>0</v>
      </c>
      <c r="AQ39" s="13" t="s">
        <v>139</v>
      </c>
      <c r="AV39" s="14">
        <f>AW39+AX39</f>
        <v>0</v>
      </c>
      <c r="AW39" s="14">
        <f>G39*AO39</f>
        <v>0</v>
      </c>
      <c r="AX39" s="14">
        <f>G39*AP39</f>
        <v>0</v>
      </c>
      <c r="AY39" s="13" t="s">
        <v>189</v>
      </c>
      <c r="AZ39" s="13" t="s">
        <v>190</v>
      </c>
      <c r="BA39" s="46" t="s">
        <v>145</v>
      </c>
      <c r="BC39" s="14">
        <f>AW39+AX39</f>
        <v>0</v>
      </c>
      <c r="BD39" s="14">
        <f>H39/(100-BE39)*100</f>
        <v>0</v>
      </c>
      <c r="BE39" s="14">
        <v>0</v>
      </c>
      <c r="BF39" s="14">
        <f>39</f>
        <v>39</v>
      </c>
      <c r="BH39" s="14">
        <f>G39*AO39</f>
        <v>0</v>
      </c>
      <c r="BI39" s="14">
        <f>G39*AP39</f>
        <v>0</v>
      </c>
      <c r="BJ39" s="14">
        <f>G39*H39</f>
        <v>0</v>
      </c>
      <c r="BK39" s="14"/>
      <c r="BL39" s="14">
        <v>60</v>
      </c>
      <c r="BW39" s="14">
        <v>21</v>
      </c>
      <c r="BX39" s="4" t="s">
        <v>193</v>
      </c>
    </row>
    <row r="40" spans="1:76" ht="13.5" customHeight="1" x14ac:dyDescent="0.25">
      <c r="A40" s="60"/>
      <c r="C40" s="63" t="s">
        <v>165</v>
      </c>
      <c r="D40" s="147" t="s">
        <v>263</v>
      </c>
      <c r="E40" s="148"/>
      <c r="F40" s="148"/>
      <c r="G40" s="148"/>
      <c r="H40" s="148"/>
      <c r="I40" s="148"/>
      <c r="J40" s="148"/>
      <c r="K40" s="149"/>
    </row>
    <row r="41" spans="1:76" x14ac:dyDescent="0.25">
      <c r="A41" s="1" t="s">
        <v>194</v>
      </c>
      <c r="B41" s="2" t="s">
        <v>18</v>
      </c>
      <c r="C41" s="2" t="s">
        <v>195</v>
      </c>
      <c r="D41" s="74" t="s">
        <v>264</v>
      </c>
      <c r="E41" s="69"/>
      <c r="F41" s="2" t="s">
        <v>142</v>
      </c>
      <c r="G41" s="14">
        <v>25.67</v>
      </c>
      <c r="H41" s="14">
        <v>0</v>
      </c>
      <c r="I41" s="14">
        <f>G41*H41</f>
        <v>0</v>
      </c>
      <c r="K41" s="52"/>
      <c r="Z41" s="14">
        <f>IF(AQ41="5",BJ41,0)</f>
        <v>0</v>
      </c>
      <c r="AB41" s="14">
        <f>IF(AQ41="1",BH41,0)</f>
        <v>0</v>
      </c>
      <c r="AC41" s="14">
        <f>IF(AQ41="1",BI41,0)</f>
        <v>0</v>
      </c>
      <c r="AD41" s="14">
        <f>IF(AQ41="7",BH41,0)</f>
        <v>0</v>
      </c>
      <c r="AE41" s="14">
        <f>IF(AQ41="7",BI41,0)</f>
        <v>0</v>
      </c>
      <c r="AF41" s="14">
        <f>IF(AQ41="2",BH41,0)</f>
        <v>0</v>
      </c>
      <c r="AG41" s="14">
        <f>IF(AQ41="2",BI41,0)</f>
        <v>0</v>
      </c>
      <c r="AH41" s="14">
        <f>IF(AQ41="0",BJ41,0)</f>
        <v>0</v>
      </c>
      <c r="AI41" s="46" t="s">
        <v>18</v>
      </c>
      <c r="AJ41" s="14">
        <f>IF(AN41=0,I41,0)</f>
        <v>0</v>
      </c>
      <c r="AK41" s="14">
        <f>IF(AN41=12,I41,0)</f>
        <v>0</v>
      </c>
      <c r="AL41" s="14">
        <f>IF(AN41=21,I41,0)</f>
        <v>0</v>
      </c>
      <c r="AN41" s="14">
        <v>21</v>
      </c>
      <c r="AO41" s="14">
        <f>H41*0.297818182</f>
        <v>0</v>
      </c>
      <c r="AP41" s="14">
        <f>H41*(1-0.297818182)</f>
        <v>0</v>
      </c>
      <c r="AQ41" s="13" t="s">
        <v>139</v>
      </c>
      <c r="AV41" s="14">
        <f>AW41+AX41</f>
        <v>0</v>
      </c>
      <c r="AW41" s="14">
        <f>G41*AO41</f>
        <v>0</v>
      </c>
      <c r="AX41" s="14">
        <f>G41*AP41</f>
        <v>0</v>
      </c>
      <c r="AY41" s="13" t="s">
        <v>189</v>
      </c>
      <c r="AZ41" s="13" t="s">
        <v>190</v>
      </c>
      <c r="BA41" s="46" t="s">
        <v>145</v>
      </c>
      <c r="BC41" s="14">
        <f>AW41+AX41</f>
        <v>0</v>
      </c>
      <c r="BD41" s="14">
        <f>H41/(100-BE41)*100</f>
        <v>0</v>
      </c>
      <c r="BE41" s="14">
        <v>0</v>
      </c>
      <c r="BF41" s="14">
        <f>41</f>
        <v>41</v>
      </c>
      <c r="BH41" s="14">
        <f>G41*AO41</f>
        <v>0</v>
      </c>
      <c r="BI41" s="14">
        <f>G41*AP41</f>
        <v>0</v>
      </c>
      <c r="BJ41" s="14">
        <f>G41*H41</f>
        <v>0</v>
      </c>
      <c r="BK41" s="14"/>
      <c r="BL41" s="14">
        <v>60</v>
      </c>
      <c r="BW41" s="14">
        <v>21</v>
      </c>
      <c r="BX41" s="4" t="s">
        <v>196</v>
      </c>
    </row>
    <row r="42" spans="1:76" ht="13.5" customHeight="1" x14ac:dyDescent="0.25">
      <c r="A42" s="60"/>
      <c r="C42" s="63" t="s">
        <v>165</v>
      </c>
      <c r="D42" s="147" t="s">
        <v>197</v>
      </c>
      <c r="E42" s="148"/>
      <c r="F42" s="148"/>
      <c r="G42" s="148"/>
      <c r="H42" s="148"/>
      <c r="I42" s="148"/>
      <c r="J42" s="148"/>
      <c r="K42" s="149"/>
    </row>
    <row r="43" spans="1:76" x14ac:dyDescent="0.25">
      <c r="A43" s="57" t="s">
        <v>18</v>
      </c>
      <c r="B43" s="58" t="s">
        <v>18</v>
      </c>
      <c r="C43" s="58" t="s">
        <v>30</v>
      </c>
      <c r="D43" s="144" t="s">
        <v>31</v>
      </c>
      <c r="E43" s="145"/>
      <c r="F43" s="59" t="s">
        <v>3</v>
      </c>
      <c r="G43" s="59" t="s">
        <v>3</v>
      </c>
      <c r="H43" s="59" t="s">
        <v>3</v>
      </c>
      <c r="I43" s="39">
        <f>SUM(I44:I47)</f>
        <v>0</v>
      </c>
      <c r="K43" s="52"/>
      <c r="AI43" s="46" t="s">
        <v>18</v>
      </c>
      <c r="AS43" s="39">
        <f>SUM(AJ44:AJ47)</f>
        <v>0</v>
      </c>
      <c r="AT43" s="39">
        <f>SUM(AK44:AK47)</f>
        <v>0</v>
      </c>
      <c r="AU43" s="39">
        <f>SUM(AL44:AL47)</f>
        <v>0</v>
      </c>
    </row>
    <row r="44" spans="1:76" x14ac:dyDescent="0.25">
      <c r="A44" s="1" t="s">
        <v>198</v>
      </c>
      <c r="B44" s="2" t="s">
        <v>18</v>
      </c>
      <c r="C44" s="2" t="s">
        <v>199</v>
      </c>
      <c r="D44" s="74" t="s">
        <v>200</v>
      </c>
      <c r="E44" s="69"/>
      <c r="F44" s="2" t="s">
        <v>201</v>
      </c>
      <c r="G44" s="14">
        <v>60</v>
      </c>
      <c r="H44" s="14">
        <v>0</v>
      </c>
      <c r="I44" s="14">
        <f>G44*H44</f>
        <v>0</v>
      </c>
      <c r="K44" s="52"/>
      <c r="Z44" s="14">
        <f>IF(AQ44="5",BJ44,0)</f>
        <v>0</v>
      </c>
      <c r="AB44" s="14">
        <f>IF(AQ44="1",BH44,0)</f>
        <v>0</v>
      </c>
      <c r="AC44" s="14">
        <f>IF(AQ44="1",BI44,0)</f>
        <v>0</v>
      </c>
      <c r="AD44" s="14">
        <f>IF(AQ44="7",BH44,0)</f>
        <v>0</v>
      </c>
      <c r="AE44" s="14">
        <f>IF(AQ44="7",BI44,0)</f>
        <v>0</v>
      </c>
      <c r="AF44" s="14">
        <f>IF(AQ44="2",BH44,0)</f>
        <v>0</v>
      </c>
      <c r="AG44" s="14">
        <f>IF(AQ44="2",BI44,0)</f>
        <v>0</v>
      </c>
      <c r="AH44" s="14">
        <f>IF(AQ44="0",BJ44,0)</f>
        <v>0</v>
      </c>
      <c r="AI44" s="46" t="s">
        <v>18</v>
      </c>
      <c r="AJ44" s="14">
        <f>IF(AN44=0,I44,0)</f>
        <v>0</v>
      </c>
      <c r="AK44" s="14">
        <f>IF(AN44=12,I44,0)</f>
        <v>0</v>
      </c>
      <c r="AL44" s="14">
        <f>IF(AN44=21,I44,0)</f>
        <v>0</v>
      </c>
      <c r="AN44" s="14">
        <v>21</v>
      </c>
      <c r="AO44" s="14">
        <f>H44*0.536061381</f>
        <v>0</v>
      </c>
      <c r="AP44" s="14">
        <f>H44*(1-0.536061381)</f>
        <v>0</v>
      </c>
      <c r="AQ44" s="13" t="s">
        <v>139</v>
      </c>
      <c r="AV44" s="14">
        <f>AW44+AX44</f>
        <v>0</v>
      </c>
      <c r="AW44" s="14">
        <f>G44*AO44</f>
        <v>0</v>
      </c>
      <c r="AX44" s="14">
        <f>G44*AP44</f>
        <v>0</v>
      </c>
      <c r="AY44" s="13" t="s">
        <v>202</v>
      </c>
      <c r="AZ44" s="13" t="s">
        <v>203</v>
      </c>
      <c r="BA44" s="46" t="s">
        <v>145</v>
      </c>
      <c r="BC44" s="14">
        <f>AW44+AX44</f>
        <v>0</v>
      </c>
      <c r="BD44" s="14">
        <f>H44/(100-BE44)*100</f>
        <v>0</v>
      </c>
      <c r="BE44" s="14">
        <v>0</v>
      </c>
      <c r="BF44" s="14">
        <f>44</f>
        <v>44</v>
      </c>
      <c r="BH44" s="14">
        <f>G44*AO44</f>
        <v>0</v>
      </c>
      <c r="BI44" s="14">
        <f>G44*AP44</f>
        <v>0</v>
      </c>
      <c r="BJ44" s="14">
        <f>G44*H44</f>
        <v>0</v>
      </c>
      <c r="BK44" s="14"/>
      <c r="BL44" s="14">
        <v>95</v>
      </c>
      <c r="BW44" s="14">
        <v>21</v>
      </c>
      <c r="BX44" s="4" t="s">
        <v>200</v>
      </c>
    </row>
    <row r="45" spans="1:76" x14ac:dyDescent="0.25">
      <c r="A45" s="60"/>
      <c r="D45" s="61" t="s">
        <v>204</v>
      </c>
      <c r="E45" s="61" t="s">
        <v>18</v>
      </c>
      <c r="G45" s="62">
        <v>0</v>
      </c>
      <c r="K45" s="52"/>
    </row>
    <row r="46" spans="1:76" x14ac:dyDescent="0.25">
      <c r="A46" s="60"/>
      <c r="D46" s="61" t="s">
        <v>28</v>
      </c>
      <c r="E46" s="61" t="s">
        <v>18</v>
      </c>
      <c r="G46" s="62">
        <v>60</v>
      </c>
      <c r="K46" s="52"/>
    </row>
    <row r="47" spans="1:76" x14ac:dyDescent="0.25">
      <c r="A47" s="1" t="s">
        <v>205</v>
      </c>
      <c r="B47" s="2" t="s">
        <v>18</v>
      </c>
      <c r="C47" s="2" t="s">
        <v>206</v>
      </c>
      <c r="D47" s="74" t="s">
        <v>207</v>
      </c>
      <c r="E47" s="69"/>
      <c r="F47" s="2" t="s">
        <v>164</v>
      </c>
      <c r="G47" s="14">
        <v>7.3369999999999997</v>
      </c>
      <c r="H47" s="14">
        <v>0</v>
      </c>
      <c r="I47" s="14">
        <f>G47*H47</f>
        <v>0</v>
      </c>
      <c r="K47" s="52"/>
      <c r="Z47" s="14">
        <f>IF(AQ47="5",BJ47,0)</f>
        <v>0</v>
      </c>
      <c r="AB47" s="14">
        <f>IF(AQ47="1",BH47,0)</f>
        <v>0</v>
      </c>
      <c r="AC47" s="14">
        <f>IF(AQ47="1",BI47,0)</f>
        <v>0</v>
      </c>
      <c r="AD47" s="14">
        <f>IF(AQ47="7",BH47,0)</f>
        <v>0</v>
      </c>
      <c r="AE47" s="14">
        <f>IF(AQ47="7",BI47,0)</f>
        <v>0</v>
      </c>
      <c r="AF47" s="14">
        <f>IF(AQ47="2",BH47,0)</f>
        <v>0</v>
      </c>
      <c r="AG47" s="14">
        <f>IF(AQ47="2",BI47,0)</f>
        <v>0</v>
      </c>
      <c r="AH47" s="14">
        <f>IF(AQ47="0",BJ47,0)</f>
        <v>0</v>
      </c>
      <c r="AI47" s="46" t="s">
        <v>18</v>
      </c>
      <c r="AJ47" s="14">
        <f>IF(AN47=0,I47,0)</f>
        <v>0</v>
      </c>
      <c r="AK47" s="14">
        <f>IF(AN47=12,I47,0)</f>
        <v>0</v>
      </c>
      <c r="AL47" s="14">
        <f>IF(AN47=21,I47,0)</f>
        <v>0</v>
      </c>
      <c r="AN47" s="14">
        <v>21</v>
      </c>
      <c r="AO47" s="14">
        <f>H47*0</f>
        <v>0</v>
      </c>
      <c r="AP47" s="14">
        <f>H47*(1-0)</f>
        <v>0</v>
      </c>
      <c r="AQ47" s="13" t="s">
        <v>161</v>
      </c>
      <c r="AV47" s="14">
        <f>AW47+AX47</f>
        <v>0</v>
      </c>
      <c r="AW47" s="14">
        <f>G47*AO47</f>
        <v>0</v>
      </c>
      <c r="AX47" s="14">
        <f>G47*AP47</f>
        <v>0</v>
      </c>
      <c r="AY47" s="13" t="s">
        <v>202</v>
      </c>
      <c r="AZ47" s="13" t="s">
        <v>203</v>
      </c>
      <c r="BA47" s="46" t="s">
        <v>145</v>
      </c>
      <c r="BC47" s="14">
        <f>AW47+AX47</f>
        <v>0</v>
      </c>
      <c r="BD47" s="14">
        <f>H47/(100-BE47)*100</f>
        <v>0</v>
      </c>
      <c r="BE47" s="14">
        <v>0</v>
      </c>
      <c r="BF47" s="14">
        <f>47</f>
        <v>47</v>
      </c>
      <c r="BH47" s="14">
        <f>G47*AO47</f>
        <v>0</v>
      </c>
      <c r="BI47" s="14">
        <f>G47*AP47</f>
        <v>0</v>
      </c>
      <c r="BJ47" s="14">
        <f>G47*H47</f>
        <v>0</v>
      </c>
      <c r="BK47" s="14"/>
      <c r="BL47" s="14">
        <v>95</v>
      </c>
      <c r="BW47" s="14">
        <v>21</v>
      </c>
      <c r="BX47" s="4" t="s">
        <v>207</v>
      </c>
    </row>
    <row r="48" spans="1:76" x14ac:dyDescent="0.25">
      <c r="A48" s="57" t="s">
        <v>18</v>
      </c>
      <c r="B48" s="58" t="s">
        <v>18</v>
      </c>
      <c r="C48" s="58" t="s">
        <v>32</v>
      </c>
      <c r="D48" s="144" t="s">
        <v>33</v>
      </c>
      <c r="E48" s="145"/>
      <c r="F48" s="59" t="s">
        <v>3</v>
      </c>
      <c r="G48" s="59" t="s">
        <v>3</v>
      </c>
      <c r="H48" s="59" t="s">
        <v>3</v>
      </c>
      <c r="I48" s="39">
        <f>SUM(I49:I49)</f>
        <v>0</v>
      </c>
      <c r="K48" s="52"/>
      <c r="AI48" s="46" t="s">
        <v>18</v>
      </c>
      <c r="AS48" s="39">
        <f>SUM(AJ49:AJ49)</f>
        <v>0</v>
      </c>
      <c r="AT48" s="39">
        <f>SUM(AK49:AK49)</f>
        <v>0</v>
      </c>
      <c r="AU48" s="39">
        <f>SUM(AL49:AL49)</f>
        <v>0</v>
      </c>
    </row>
    <row r="49" spans="1:76" x14ac:dyDescent="0.25">
      <c r="A49" s="1" t="s">
        <v>208</v>
      </c>
      <c r="B49" s="2" t="s">
        <v>18</v>
      </c>
      <c r="C49" s="2" t="s">
        <v>209</v>
      </c>
      <c r="D49" s="74" t="s">
        <v>210</v>
      </c>
      <c r="E49" s="69"/>
      <c r="F49" s="2" t="s">
        <v>142</v>
      </c>
      <c r="G49" s="14">
        <v>18.72</v>
      </c>
      <c r="H49" s="14">
        <v>0</v>
      </c>
      <c r="I49" s="14">
        <f>G49*H49</f>
        <v>0</v>
      </c>
      <c r="K49" s="52"/>
      <c r="Z49" s="14">
        <f>IF(AQ49="5",BJ49,0)</f>
        <v>0</v>
      </c>
      <c r="AB49" s="14">
        <f>IF(AQ49="1",BH49,0)</f>
        <v>0</v>
      </c>
      <c r="AC49" s="14">
        <f>IF(AQ49="1",BI49,0)</f>
        <v>0</v>
      </c>
      <c r="AD49" s="14">
        <f>IF(AQ49="7",BH49,0)</f>
        <v>0</v>
      </c>
      <c r="AE49" s="14">
        <f>IF(AQ49="7",BI49,0)</f>
        <v>0</v>
      </c>
      <c r="AF49" s="14">
        <f>IF(AQ49="2",BH49,0)</f>
        <v>0</v>
      </c>
      <c r="AG49" s="14">
        <f>IF(AQ49="2",BI49,0)</f>
        <v>0</v>
      </c>
      <c r="AH49" s="14">
        <f>IF(AQ49="0",BJ49,0)</f>
        <v>0</v>
      </c>
      <c r="AI49" s="46" t="s">
        <v>18</v>
      </c>
      <c r="AJ49" s="14">
        <f>IF(AN49=0,I49,0)</f>
        <v>0</v>
      </c>
      <c r="AK49" s="14">
        <f>IF(AN49=12,I49,0)</f>
        <v>0</v>
      </c>
      <c r="AL49" s="14">
        <f>IF(AN49=21,I49,0)</f>
        <v>0</v>
      </c>
      <c r="AN49" s="14">
        <v>21</v>
      </c>
      <c r="AO49" s="14">
        <f>H49*0.015305164</f>
        <v>0</v>
      </c>
      <c r="AP49" s="14">
        <f>H49*(1-0.015305164)</f>
        <v>0</v>
      </c>
      <c r="AQ49" s="13" t="s">
        <v>139</v>
      </c>
      <c r="AV49" s="14">
        <f>AW49+AX49</f>
        <v>0</v>
      </c>
      <c r="AW49" s="14">
        <f>G49*AO49</f>
        <v>0</v>
      </c>
      <c r="AX49" s="14">
        <f>G49*AP49</f>
        <v>0</v>
      </c>
      <c r="AY49" s="13" t="s">
        <v>211</v>
      </c>
      <c r="AZ49" s="13" t="s">
        <v>203</v>
      </c>
      <c r="BA49" s="46" t="s">
        <v>145</v>
      </c>
      <c r="BC49" s="14">
        <f>AW49+AX49</f>
        <v>0</v>
      </c>
      <c r="BD49" s="14">
        <f>H49/(100-BE49)*100</f>
        <v>0</v>
      </c>
      <c r="BE49" s="14">
        <v>0</v>
      </c>
      <c r="BF49" s="14">
        <f>49</f>
        <v>49</v>
      </c>
      <c r="BH49" s="14">
        <f>G49*AO49</f>
        <v>0</v>
      </c>
      <c r="BI49" s="14">
        <f>G49*AP49</f>
        <v>0</v>
      </c>
      <c r="BJ49" s="14">
        <f>G49*H49</f>
        <v>0</v>
      </c>
      <c r="BK49" s="14"/>
      <c r="BL49" s="14">
        <v>96</v>
      </c>
      <c r="BW49" s="14">
        <v>21</v>
      </c>
      <c r="BX49" s="4" t="s">
        <v>210</v>
      </c>
    </row>
    <row r="50" spans="1:76" x14ac:dyDescent="0.25">
      <c r="A50" s="60"/>
      <c r="D50" s="61" t="s">
        <v>212</v>
      </c>
      <c r="E50" s="61" t="s">
        <v>18</v>
      </c>
      <c r="G50" s="62">
        <v>0</v>
      </c>
      <c r="K50" s="52"/>
    </row>
    <row r="51" spans="1:76" x14ac:dyDescent="0.25">
      <c r="A51" s="60"/>
      <c r="D51" s="61" t="s">
        <v>213</v>
      </c>
      <c r="E51" s="61" t="s">
        <v>18</v>
      </c>
      <c r="G51" s="62">
        <v>18.72</v>
      </c>
      <c r="K51" s="52"/>
    </row>
    <row r="52" spans="1:76" x14ac:dyDescent="0.25">
      <c r="A52" s="57" t="s">
        <v>18</v>
      </c>
      <c r="B52" s="58" t="s">
        <v>18</v>
      </c>
      <c r="C52" s="58" t="s">
        <v>34</v>
      </c>
      <c r="D52" s="144" t="s">
        <v>35</v>
      </c>
      <c r="E52" s="145"/>
      <c r="F52" s="59" t="s">
        <v>3</v>
      </c>
      <c r="G52" s="59" t="s">
        <v>3</v>
      </c>
      <c r="H52" s="59" t="s">
        <v>3</v>
      </c>
      <c r="I52" s="39">
        <f>SUM(I53:I56)</f>
        <v>0</v>
      </c>
      <c r="K52" s="52"/>
      <c r="AI52" s="46" t="s">
        <v>18</v>
      </c>
      <c r="AS52" s="39">
        <f>SUM(AJ53:AJ56)</f>
        <v>0</v>
      </c>
      <c r="AT52" s="39">
        <f>SUM(AK53:AK56)</f>
        <v>0</v>
      </c>
      <c r="AU52" s="39">
        <f>SUM(AL53:AL56)</f>
        <v>0</v>
      </c>
    </row>
    <row r="53" spans="1:76" x14ac:dyDescent="0.25">
      <c r="A53" s="1" t="s">
        <v>214</v>
      </c>
      <c r="B53" s="2" t="s">
        <v>18</v>
      </c>
      <c r="C53" s="2" t="s">
        <v>215</v>
      </c>
      <c r="D53" s="74" t="s">
        <v>216</v>
      </c>
      <c r="E53" s="69"/>
      <c r="F53" s="2" t="s">
        <v>142</v>
      </c>
      <c r="G53" s="14">
        <v>8.4</v>
      </c>
      <c r="H53" s="14">
        <v>0</v>
      </c>
      <c r="I53" s="14">
        <f>G53*H53</f>
        <v>0</v>
      </c>
      <c r="K53" s="52"/>
      <c r="Z53" s="14">
        <f>IF(AQ53="5",BJ53,0)</f>
        <v>0</v>
      </c>
      <c r="AB53" s="14">
        <f>IF(AQ53="1",BH53,0)</f>
        <v>0</v>
      </c>
      <c r="AC53" s="14">
        <f>IF(AQ53="1",BI53,0)</f>
        <v>0</v>
      </c>
      <c r="AD53" s="14">
        <f>IF(AQ53="7",BH53,0)</f>
        <v>0</v>
      </c>
      <c r="AE53" s="14">
        <f>IF(AQ53="7",BI53,0)</f>
        <v>0</v>
      </c>
      <c r="AF53" s="14">
        <f>IF(AQ53="2",BH53,0)</f>
        <v>0</v>
      </c>
      <c r="AG53" s="14">
        <f>IF(AQ53="2",BI53,0)</f>
        <v>0</v>
      </c>
      <c r="AH53" s="14">
        <f>IF(AQ53="0",BJ53,0)</f>
        <v>0</v>
      </c>
      <c r="AI53" s="46" t="s">
        <v>18</v>
      </c>
      <c r="AJ53" s="14">
        <f>IF(AN53=0,I53,0)</f>
        <v>0</v>
      </c>
      <c r="AK53" s="14">
        <f>IF(AN53=12,I53,0)</f>
        <v>0</v>
      </c>
      <c r="AL53" s="14">
        <f>IF(AN53=21,I53,0)</f>
        <v>0</v>
      </c>
      <c r="AN53" s="14">
        <v>21</v>
      </c>
      <c r="AO53" s="14">
        <f>H53*0</f>
        <v>0</v>
      </c>
      <c r="AP53" s="14">
        <f>H53*(1-0)</f>
        <v>0</v>
      </c>
      <c r="AQ53" s="13" t="s">
        <v>139</v>
      </c>
      <c r="AV53" s="14">
        <f>AW53+AX53</f>
        <v>0</v>
      </c>
      <c r="AW53" s="14">
        <f>G53*AO53</f>
        <v>0</v>
      </c>
      <c r="AX53" s="14">
        <f>G53*AP53</f>
        <v>0</v>
      </c>
      <c r="AY53" s="13" t="s">
        <v>217</v>
      </c>
      <c r="AZ53" s="13" t="s">
        <v>203</v>
      </c>
      <c r="BA53" s="46" t="s">
        <v>145</v>
      </c>
      <c r="BC53" s="14">
        <f>AW53+AX53</f>
        <v>0</v>
      </c>
      <c r="BD53" s="14">
        <f>H53/(100-BE53)*100</f>
        <v>0</v>
      </c>
      <c r="BE53" s="14">
        <v>0</v>
      </c>
      <c r="BF53" s="14">
        <f>53</f>
        <v>53</v>
      </c>
      <c r="BH53" s="14">
        <f>G53*AO53</f>
        <v>0</v>
      </c>
      <c r="BI53" s="14">
        <f>G53*AP53</f>
        <v>0</v>
      </c>
      <c r="BJ53" s="14">
        <f>G53*H53</f>
        <v>0</v>
      </c>
      <c r="BK53" s="14"/>
      <c r="BL53" s="14">
        <v>93</v>
      </c>
      <c r="BW53" s="14">
        <v>21</v>
      </c>
      <c r="BX53" s="4" t="s">
        <v>216</v>
      </c>
    </row>
    <row r="54" spans="1:76" x14ac:dyDescent="0.25">
      <c r="A54" s="60"/>
      <c r="D54" s="61" t="s">
        <v>218</v>
      </c>
      <c r="E54" s="61" t="s">
        <v>18</v>
      </c>
      <c r="G54" s="62">
        <v>0</v>
      </c>
      <c r="K54" s="52"/>
    </row>
    <row r="55" spans="1:76" x14ac:dyDescent="0.25">
      <c r="A55" s="60"/>
      <c r="D55" s="61" t="s">
        <v>219</v>
      </c>
      <c r="E55" s="61" t="s">
        <v>18</v>
      </c>
      <c r="G55" s="62">
        <v>8.4</v>
      </c>
      <c r="K55" s="52"/>
    </row>
    <row r="56" spans="1:76" x14ac:dyDescent="0.25">
      <c r="A56" s="1" t="s">
        <v>220</v>
      </c>
      <c r="B56" s="2" t="s">
        <v>18</v>
      </c>
      <c r="C56" s="2" t="s">
        <v>221</v>
      </c>
      <c r="D56" s="74" t="s">
        <v>222</v>
      </c>
      <c r="E56" s="69"/>
      <c r="F56" s="2" t="s">
        <v>142</v>
      </c>
      <c r="G56" s="14">
        <v>11.7</v>
      </c>
      <c r="H56" s="14">
        <v>0</v>
      </c>
      <c r="I56" s="14">
        <f>G56*H56</f>
        <v>0</v>
      </c>
      <c r="K56" s="52"/>
      <c r="Z56" s="14">
        <f>IF(AQ56="5",BJ56,0)</f>
        <v>0</v>
      </c>
      <c r="AB56" s="14">
        <f>IF(AQ56="1",BH56,0)</f>
        <v>0</v>
      </c>
      <c r="AC56" s="14">
        <f>IF(AQ56="1",BI56,0)</f>
        <v>0</v>
      </c>
      <c r="AD56" s="14">
        <f>IF(AQ56="7",BH56,0)</f>
        <v>0</v>
      </c>
      <c r="AE56" s="14">
        <f>IF(AQ56="7",BI56,0)</f>
        <v>0</v>
      </c>
      <c r="AF56" s="14">
        <f>IF(AQ56="2",BH56,0)</f>
        <v>0</v>
      </c>
      <c r="AG56" s="14">
        <f>IF(AQ56="2",BI56,0)</f>
        <v>0</v>
      </c>
      <c r="AH56" s="14">
        <f>IF(AQ56="0",BJ56,0)</f>
        <v>0</v>
      </c>
      <c r="AI56" s="46" t="s">
        <v>18</v>
      </c>
      <c r="AJ56" s="14">
        <f>IF(AN56=0,I56,0)</f>
        <v>0</v>
      </c>
      <c r="AK56" s="14">
        <f>IF(AN56=12,I56,0)</f>
        <v>0</v>
      </c>
      <c r="AL56" s="14">
        <f>IF(AN56=21,I56,0)</f>
        <v>0</v>
      </c>
      <c r="AN56" s="14">
        <v>21</v>
      </c>
      <c r="AO56" s="14">
        <f>H56*0</f>
        <v>0</v>
      </c>
      <c r="AP56" s="14">
        <f>H56*(1-0)</f>
        <v>0</v>
      </c>
      <c r="AQ56" s="13" t="s">
        <v>139</v>
      </c>
      <c r="AV56" s="14">
        <f>AW56+AX56</f>
        <v>0</v>
      </c>
      <c r="AW56" s="14">
        <f>G56*AO56</f>
        <v>0</v>
      </c>
      <c r="AX56" s="14">
        <f>G56*AP56</f>
        <v>0</v>
      </c>
      <c r="AY56" s="13" t="s">
        <v>217</v>
      </c>
      <c r="AZ56" s="13" t="s">
        <v>203</v>
      </c>
      <c r="BA56" s="46" t="s">
        <v>145</v>
      </c>
      <c r="BC56" s="14">
        <f>AW56+AX56</f>
        <v>0</v>
      </c>
      <c r="BD56" s="14">
        <f>H56/(100-BE56)*100</f>
        <v>0</v>
      </c>
      <c r="BE56" s="14">
        <v>0</v>
      </c>
      <c r="BF56" s="14">
        <f>56</f>
        <v>56</v>
      </c>
      <c r="BH56" s="14">
        <f>G56*AO56</f>
        <v>0</v>
      </c>
      <c r="BI56" s="14">
        <f>G56*AP56</f>
        <v>0</v>
      </c>
      <c r="BJ56" s="14">
        <f>G56*H56</f>
        <v>0</v>
      </c>
      <c r="BK56" s="14"/>
      <c r="BL56" s="14">
        <v>93</v>
      </c>
      <c r="BW56" s="14">
        <v>21</v>
      </c>
      <c r="BX56" s="4" t="s">
        <v>222</v>
      </c>
    </row>
    <row r="57" spans="1:76" x14ac:dyDescent="0.25">
      <c r="A57" s="60"/>
      <c r="D57" s="61" t="s">
        <v>223</v>
      </c>
      <c r="E57" s="61" t="s">
        <v>18</v>
      </c>
      <c r="G57" s="62">
        <v>0</v>
      </c>
      <c r="K57" s="52"/>
    </row>
    <row r="58" spans="1:76" x14ac:dyDescent="0.25">
      <c r="A58" s="60"/>
      <c r="D58" s="61" t="s">
        <v>224</v>
      </c>
      <c r="E58" s="61" t="s">
        <v>18</v>
      </c>
      <c r="G58" s="62">
        <v>11.7</v>
      </c>
      <c r="K58" s="52"/>
    </row>
    <row r="59" spans="1:76" x14ac:dyDescent="0.25">
      <c r="A59" s="57" t="s">
        <v>18</v>
      </c>
      <c r="B59" s="58" t="s">
        <v>18</v>
      </c>
      <c r="C59" s="58" t="s">
        <v>36</v>
      </c>
      <c r="D59" s="144" t="s">
        <v>37</v>
      </c>
      <c r="E59" s="145"/>
      <c r="F59" s="59" t="s">
        <v>3</v>
      </c>
      <c r="G59" s="59" t="s">
        <v>3</v>
      </c>
      <c r="H59" s="59" t="s">
        <v>3</v>
      </c>
      <c r="I59" s="39">
        <f>SUM(I60:I63)</f>
        <v>0</v>
      </c>
      <c r="K59" s="52"/>
      <c r="AI59" s="46" t="s">
        <v>18</v>
      </c>
      <c r="AS59" s="39">
        <f>SUM(AJ60:AJ63)</f>
        <v>0</v>
      </c>
      <c r="AT59" s="39">
        <f>SUM(AK60:AK63)</f>
        <v>0</v>
      </c>
      <c r="AU59" s="39">
        <f>SUM(AL60:AL63)</f>
        <v>0</v>
      </c>
    </row>
    <row r="60" spans="1:76" x14ac:dyDescent="0.25">
      <c r="A60" s="1" t="s">
        <v>225</v>
      </c>
      <c r="B60" s="2" t="s">
        <v>18</v>
      </c>
      <c r="C60" s="2" t="s">
        <v>226</v>
      </c>
      <c r="D60" s="74" t="s">
        <v>227</v>
      </c>
      <c r="E60" s="69"/>
      <c r="F60" s="2" t="s">
        <v>142</v>
      </c>
      <c r="G60" s="14">
        <v>25.67</v>
      </c>
      <c r="H60" s="14">
        <v>0</v>
      </c>
      <c r="I60" s="14">
        <f>G60*H60</f>
        <v>0</v>
      </c>
      <c r="K60" s="52"/>
      <c r="Z60" s="14">
        <f>IF(AQ60="5",BJ60,0)</f>
        <v>0</v>
      </c>
      <c r="AB60" s="14">
        <f>IF(AQ60="1",BH60,0)</f>
        <v>0</v>
      </c>
      <c r="AC60" s="14">
        <f>IF(AQ60="1",BI60,0)</f>
        <v>0</v>
      </c>
      <c r="AD60" s="14">
        <f>IF(AQ60="7",BH60,0)</f>
        <v>0</v>
      </c>
      <c r="AE60" s="14">
        <f>IF(AQ60="7",BI60,0)</f>
        <v>0</v>
      </c>
      <c r="AF60" s="14">
        <f>IF(AQ60="2",BH60,0)</f>
        <v>0</v>
      </c>
      <c r="AG60" s="14">
        <f>IF(AQ60="2",BI60,0)</f>
        <v>0</v>
      </c>
      <c r="AH60" s="14">
        <f>IF(AQ60="0",BJ60,0)</f>
        <v>0</v>
      </c>
      <c r="AI60" s="46" t="s">
        <v>18</v>
      </c>
      <c r="AJ60" s="14">
        <f>IF(AN60=0,I60,0)</f>
        <v>0</v>
      </c>
      <c r="AK60" s="14">
        <f>IF(AN60=12,I60,0)</f>
        <v>0</v>
      </c>
      <c r="AL60" s="14">
        <f>IF(AN60=21,I60,0)</f>
        <v>0</v>
      </c>
      <c r="AN60" s="14">
        <v>21</v>
      </c>
      <c r="AO60" s="14">
        <f>H60*0</f>
        <v>0</v>
      </c>
      <c r="AP60" s="14">
        <f>H60*(1-0)</f>
        <v>0</v>
      </c>
      <c r="AQ60" s="13" t="s">
        <v>139</v>
      </c>
      <c r="AV60" s="14">
        <f>AW60+AX60</f>
        <v>0</v>
      </c>
      <c r="AW60" s="14">
        <f>G60*AO60</f>
        <v>0</v>
      </c>
      <c r="AX60" s="14">
        <f>G60*AP60</f>
        <v>0</v>
      </c>
      <c r="AY60" s="13" t="s">
        <v>228</v>
      </c>
      <c r="AZ60" s="13" t="s">
        <v>203</v>
      </c>
      <c r="BA60" s="46" t="s">
        <v>145</v>
      </c>
      <c r="BC60" s="14">
        <f>AW60+AX60</f>
        <v>0</v>
      </c>
      <c r="BD60" s="14">
        <f>H60/(100-BE60)*100</f>
        <v>0</v>
      </c>
      <c r="BE60" s="14">
        <v>0</v>
      </c>
      <c r="BF60" s="14">
        <f>60</f>
        <v>60</v>
      </c>
      <c r="BH60" s="14">
        <f>G60*AO60</f>
        <v>0</v>
      </c>
      <c r="BI60" s="14">
        <f>G60*AP60</f>
        <v>0</v>
      </c>
      <c r="BJ60" s="14">
        <f>G60*H60</f>
        <v>0</v>
      </c>
      <c r="BK60" s="14"/>
      <c r="BL60" s="14">
        <v>97</v>
      </c>
      <c r="BW60" s="14">
        <v>21</v>
      </c>
      <c r="BX60" s="4" t="s">
        <v>227</v>
      </c>
    </row>
    <row r="61" spans="1:76" x14ac:dyDescent="0.25">
      <c r="A61" s="60"/>
      <c r="D61" s="61" t="s">
        <v>171</v>
      </c>
      <c r="E61" s="61" t="s">
        <v>18</v>
      </c>
      <c r="G61" s="62">
        <v>21.47</v>
      </c>
      <c r="K61" s="52"/>
    </row>
    <row r="62" spans="1:76" x14ac:dyDescent="0.25">
      <c r="A62" s="60"/>
      <c r="D62" s="61" t="s">
        <v>172</v>
      </c>
      <c r="E62" s="61" t="s">
        <v>18</v>
      </c>
      <c r="G62" s="62">
        <v>4.2</v>
      </c>
      <c r="K62" s="52"/>
    </row>
    <row r="63" spans="1:76" x14ac:dyDescent="0.25">
      <c r="A63" s="1" t="s">
        <v>229</v>
      </c>
      <c r="B63" s="2" t="s">
        <v>18</v>
      </c>
      <c r="C63" s="2" t="s">
        <v>230</v>
      </c>
      <c r="D63" s="74" t="s">
        <v>231</v>
      </c>
      <c r="E63" s="69"/>
      <c r="F63" s="2" t="s">
        <v>142</v>
      </c>
      <c r="G63" s="14">
        <v>4.2</v>
      </c>
      <c r="H63" s="14">
        <v>0</v>
      </c>
      <c r="I63" s="14">
        <f>G63*H63</f>
        <v>0</v>
      </c>
      <c r="K63" s="52"/>
      <c r="Z63" s="14">
        <f>IF(AQ63="5",BJ63,0)</f>
        <v>0</v>
      </c>
      <c r="AB63" s="14">
        <f>IF(AQ63="1",BH63,0)</f>
        <v>0</v>
      </c>
      <c r="AC63" s="14">
        <f>IF(AQ63="1",BI63,0)</f>
        <v>0</v>
      </c>
      <c r="AD63" s="14">
        <f>IF(AQ63="7",BH63,0)</f>
        <v>0</v>
      </c>
      <c r="AE63" s="14">
        <f>IF(AQ63="7",BI63,0)</f>
        <v>0</v>
      </c>
      <c r="AF63" s="14">
        <f>IF(AQ63="2",BH63,0)</f>
        <v>0</v>
      </c>
      <c r="AG63" s="14">
        <f>IF(AQ63="2",BI63,0)</f>
        <v>0</v>
      </c>
      <c r="AH63" s="14">
        <f>IF(AQ63="0",BJ63,0)</f>
        <v>0</v>
      </c>
      <c r="AI63" s="46" t="s">
        <v>18</v>
      </c>
      <c r="AJ63" s="14">
        <f>IF(AN63=0,I63,0)</f>
        <v>0</v>
      </c>
      <c r="AK63" s="14">
        <f>IF(AN63=12,I63,0)</f>
        <v>0</v>
      </c>
      <c r="AL63" s="14">
        <f>IF(AN63=21,I63,0)</f>
        <v>0</v>
      </c>
      <c r="AN63" s="14">
        <v>21</v>
      </c>
      <c r="AO63" s="14">
        <f>H63*0</f>
        <v>0</v>
      </c>
      <c r="AP63" s="14">
        <f>H63*(1-0)</f>
        <v>0</v>
      </c>
      <c r="AQ63" s="13" t="s">
        <v>139</v>
      </c>
      <c r="AV63" s="14">
        <f>AW63+AX63</f>
        <v>0</v>
      </c>
      <c r="AW63" s="14">
        <f>G63*AO63</f>
        <v>0</v>
      </c>
      <c r="AX63" s="14">
        <f>G63*AP63</f>
        <v>0</v>
      </c>
      <c r="AY63" s="13" t="s">
        <v>228</v>
      </c>
      <c r="AZ63" s="13" t="s">
        <v>203</v>
      </c>
      <c r="BA63" s="46" t="s">
        <v>145</v>
      </c>
      <c r="BC63" s="14">
        <f>AW63+AX63</f>
        <v>0</v>
      </c>
      <c r="BD63" s="14">
        <f>H63/(100-BE63)*100</f>
        <v>0</v>
      </c>
      <c r="BE63" s="14">
        <v>0</v>
      </c>
      <c r="BF63" s="14">
        <f>63</f>
        <v>63</v>
      </c>
      <c r="BH63" s="14">
        <f>G63*AO63</f>
        <v>0</v>
      </c>
      <c r="BI63" s="14">
        <f>G63*AP63</f>
        <v>0</v>
      </c>
      <c r="BJ63" s="14">
        <f>G63*H63</f>
        <v>0</v>
      </c>
      <c r="BK63" s="14"/>
      <c r="BL63" s="14">
        <v>97</v>
      </c>
      <c r="BW63" s="14">
        <v>21</v>
      </c>
      <c r="BX63" s="4" t="s">
        <v>231</v>
      </c>
    </row>
    <row r="64" spans="1:76" x14ac:dyDescent="0.25">
      <c r="A64" s="60"/>
      <c r="D64" s="61" t="s">
        <v>232</v>
      </c>
      <c r="E64" s="61" t="s">
        <v>18</v>
      </c>
      <c r="G64" s="62">
        <v>4.2</v>
      </c>
      <c r="K64" s="52"/>
    </row>
    <row r="65" spans="1:76" x14ac:dyDescent="0.25">
      <c r="A65" s="57" t="s">
        <v>18</v>
      </c>
      <c r="B65" s="58" t="s">
        <v>18</v>
      </c>
      <c r="C65" s="58" t="s">
        <v>38</v>
      </c>
      <c r="D65" s="144" t="s">
        <v>39</v>
      </c>
      <c r="E65" s="145"/>
      <c r="F65" s="59" t="s">
        <v>3</v>
      </c>
      <c r="G65" s="59" t="s">
        <v>3</v>
      </c>
      <c r="H65" s="59" t="s">
        <v>3</v>
      </c>
      <c r="I65" s="39">
        <f>SUM(I66:I70)</f>
        <v>0</v>
      </c>
      <c r="K65" s="52"/>
      <c r="AI65" s="46" t="s">
        <v>18</v>
      </c>
      <c r="AS65" s="39">
        <f>SUM(AJ66:AJ70)</f>
        <v>0</v>
      </c>
      <c r="AT65" s="39">
        <f>SUM(AK66:AK70)</f>
        <v>0</v>
      </c>
      <c r="AU65" s="39">
        <f>SUM(AL66:AL70)</f>
        <v>0</v>
      </c>
    </row>
    <row r="66" spans="1:76" x14ac:dyDescent="0.25">
      <c r="A66" s="1" t="s">
        <v>233</v>
      </c>
      <c r="B66" s="2" t="s">
        <v>18</v>
      </c>
      <c r="C66" s="2" t="s">
        <v>234</v>
      </c>
      <c r="D66" s="74" t="s">
        <v>235</v>
      </c>
      <c r="E66" s="69"/>
      <c r="F66" s="2" t="s">
        <v>164</v>
      </c>
      <c r="G66" s="14">
        <v>11.617000000000001</v>
      </c>
      <c r="H66" s="14">
        <v>0</v>
      </c>
      <c r="I66" s="14">
        <f>G66*H66</f>
        <v>0</v>
      </c>
      <c r="K66" s="52"/>
      <c r="Z66" s="14">
        <f>IF(AQ66="5",BJ66,0)</f>
        <v>0</v>
      </c>
      <c r="AB66" s="14">
        <f>IF(AQ66="1",BH66,0)</f>
        <v>0</v>
      </c>
      <c r="AC66" s="14">
        <f>IF(AQ66="1",BI66,0)</f>
        <v>0</v>
      </c>
      <c r="AD66" s="14">
        <f>IF(AQ66="7",BH66,0)</f>
        <v>0</v>
      </c>
      <c r="AE66" s="14">
        <f>IF(AQ66="7",BI66,0)</f>
        <v>0</v>
      </c>
      <c r="AF66" s="14">
        <f>IF(AQ66="2",BH66,0)</f>
        <v>0</v>
      </c>
      <c r="AG66" s="14">
        <f>IF(AQ66="2",BI66,0)</f>
        <v>0</v>
      </c>
      <c r="AH66" s="14">
        <f>IF(AQ66="0",BJ66,0)</f>
        <v>0</v>
      </c>
      <c r="AI66" s="46" t="s">
        <v>18</v>
      </c>
      <c r="AJ66" s="14">
        <f>IF(AN66=0,I66,0)</f>
        <v>0</v>
      </c>
      <c r="AK66" s="14">
        <f>IF(AN66=12,I66,0)</f>
        <v>0</v>
      </c>
      <c r="AL66" s="14">
        <f>IF(AN66=21,I66,0)</f>
        <v>0</v>
      </c>
      <c r="AN66" s="14">
        <v>21</v>
      </c>
      <c r="AO66" s="14">
        <f>H66*0</f>
        <v>0</v>
      </c>
      <c r="AP66" s="14">
        <f>H66*(1-0)</f>
        <v>0</v>
      </c>
      <c r="AQ66" s="13" t="s">
        <v>161</v>
      </c>
      <c r="AV66" s="14">
        <f>AW66+AX66</f>
        <v>0</v>
      </c>
      <c r="AW66" s="14">
        <f>G66*AO66</f>
        <v>0</v>
      </c>
      <c r="AX66" s="14">
        <f>G66*AP66</f>
        <v>0</v>
      </c>
      <c r="AY66" s="13" t="s">
        <v>236</v>
      </c>
      <c r="AZ66" s="13" t="s">
        <v>203</v>
      </c>
      <c r="BA66" s="46" t="s">
        <v>145</v>
      </c>
      <c r="BC66" s="14">
        <f>AW66+AX66</f>
        <v>0</v>
      </c>
      <c r="BD66" s="14">
        <f>H66/(100-BE66)*100</f>
        <v>0</v>
      </c>
      <c r="BE66" s="14">
        <v>0</v>
      </c>
      <c r="BF66" s="14">
        <f>66</f>
        <v>66</v>
      </c>
      <c r="BH66" s="14">
        <f>G66*AO66</f>
        <v>0</v>
      </c>
      <c r="BI66" s="14">
        <f>G66*AP66</f>
        <v>0</v>
      </c>
      <c r="BJ66" s="14">
        <f>G66*H66</f>
        <v>0</v>
      </c>
      <c r="BK66" s="14"/>
      <c r="BL66" s="14"/>
      <c r="BW66" s="14">
        <v>21</v>
      </c>
      <c r="BX66" s="4" t="s">
        <v>235</v>
      </c>
    </row>
    <row r="67" spans="1:76" x14ac:dyDescent="0.25">
      <c r="A67" s="1" t="s">
        <v>237</v>
      </c>
      <c r="B67" s="2" t="s">
        <v>18</v>
      </c>
      <c r="C67" s="2" t="s">
        <v>238</v>
      </c>
      <c r="D67" s="74" t="s">
        <v>239</v>
      </c>
      <c r="E67" s="69"/>
      <c r="F67" s="2" t="s">
        <v>164</v>
      </c>
      <c r="G67" s="14">
        <v>34.848999999999997</v>
      </c>
      <c r="H67" s="14">
        <v>0</v>
      </c>
      <c r="I67" s="14">
        <f>G67*H67</f>
        <v>0</v>
      </c>
      <c r="K67" s="52"/>
      <c r="Z67" s="14">
        <f>IF(AQ67="5",BJ67,0)</f>
        <v>0</v>
      </c>
      <c r="AB67" s="14">
        <f>IF(AQ67="1",BH67,0)</f>
        <v>0</v>
      </c>
      <c r="AC67" s="14">
        <f>IF(AQ67="1",BI67,0)</f>
        <v>0</v>
      </c>
      <c r="AD67" s="14">
        <f>IF(AQ67="7",BH67,0)</f>
        <v>0</v>
      </c>
      <c r="AE67" s="14">
        <f>IF(AQ67="7",BI67,0)</f>
        <v>0</v>
      </c>
      <c r="AF67" s="14">
        <f>IF(AQ67="2",BH67,0)</f>
        <v>0</v>
      </c>
      <c r="AG67" s="14">
        <f>IF(AQ67="2",BI67,0)</f>
        <v>0</v>
      </c>
      <c r="AH67" s="14">
        <f>IF(AQ67="0",BJ67,0)</f>
        <v>0</v>
      </c>
      <c r="AI67" s="46" t="s">
        <v>18</v>
      </c>
      <c r="AJ67" s="14">
        <f>IF(AN67=0,I67,0)</f>
        <v>0</v>
      </c>
      <c r="AK67" s="14">
        <f>IF(AN67=12,I67,0)</f>
        <v>0</v>
      </c>
      <c r="AL67" s="14">
        <f>IF(AN67=21,I67,0)</f>
        <v>0</v>
      </c>
      <c r="AN67" s="14">
        <v>21</v>
      </c>
      <c r="AO67" s="14">
        <f>H67*0</f>
        <v>0</v>
      </c>
      <c r="AP67" s="14">
        <f>H67*(1-0)</f>
        <v>0</v>
      </c>
      <c r="AQ67" s="13" t="s">
        <v>161</v>
      </c>
      <c r="AV67" s="14">
        <f>AW67+AX67</f>
        <v>0</v>
      </c>
      <c r="AW67" s="14">
        <f>G67*AO67</f>
        <v>0</v>
      </c>
      <c r="AX67" s="14">
        <f>G67*AP67</f>
        <v>0</v>
      </c>
      <c r="AY67" s="13" t="s">
        <v>236</v>
      </c>
      <c r="AZ67" s="13" t="s">
        <v>203</v>
      </c>
      <c r="BA67" s="46" t="s">
        <v>145</v>
      </c>
      <c r="BC67" s="14">
        <f>AW67+AX67</f>
        <v>0</v>
      </c>
      <c r="BD67" s="14">
        <f>H67/(100-BE67)*100</f>
        <v>0</v>
      </c>
      <c r="BE67" s="14">
        <v>0</v>
      </c>
      <c r="BF67" s="14">
        <f>67</f>
        <v>67</v>
      </c>
      <c r="BH67" s="14">
        <f>G67*AO67</f>
        <v>0</v>
      </c>
      <c r="BI67" s="14">
        <f>G67*AP67</f>
        <v>0</v>
      </c>
      <c r="BJ67" s="14">
        <f>G67*H67</f>
        <v>0</v>
      </c>
      <c r="BK67" s="14"/>
      <c r="BL67" s="14"/>
      <c r="BW67" s="14">
        <v>21</v>
      </c>
      <c r="BX67" s="4" t="s">
        <v>239</v>
      </c>
    </row>
    <row r="68" spans="1:76" x14ac:dyDescent="0.25">
      <c r="A68" s="60"/>
      <c r="D68" s="61" t="s">
        <v>240</v>
      </c>
      <c r="E68" s="61" t="s">
        <v>18</v>
      </c>
      <c r="G68" s="62">
        <v>34.848999999999997</v>
      </c>
      <c r="K68" s="52"/>
    </row>
    <row r="69" spans="1:76" x14ac:dyDescent="0.25">
      <c r="A69" s="1" t="s">
        <v>19</v>
      </c>
      <c r="B69" s="2" t="s">
        <v>18</v>
      </c>
      <c r="C69" s="2" t="s">
        <v>241</v>
      </c>
      <c r="D69" s="74" t="s">
        <v>242</v>
      </c>
      <c r="E69" s="69"/>
      <c r="F69" s="2" t="s">
        <v>164</v>
      </c>
      <c r="G69" s="14">
        <v>11.617000000000001</v>
      </c>
      <c r="H69" s="14">
        <v>0</v>
      </c>
      <c r="I69" s="14">
        <f>G69*H69</f>
        <v>0</v>
      </c>
      <c r="K69" s="52"/>
      <c r="Z69" s="14">
        <f>IF(AQ69="5",BJ69,0)</f>
        <v>0</v>
      </c>
      <c r="AB69" s="14">
        <f>IF(AQ69="1",BH69,0)</f>
        <v>0</v>
      </c>
      <c r="AC69" s="14">
        <f>IF(AQ69="1",BI69,0)</f>
        <v>0</v>
      </c>
      <c r="AD69" s="14">
        <f>IF(AQ69="7",BH69,0)</f>
        <v>0</v>
      </c>
      <c r="AE69" s="14">
        <f>IF(AQ69="7",BI69,0)</f>
        <v>0</v>
      </c>
      <c r="AF69" s="14">
        <f>IF(AQ69="2",BH69,0)</f>
        <v>0</v>
      </c>
      <c r="AG69" s="14">
        <f>IF(AQ69="2",BI69,0)</f>
        <v>0</v>
      </c>
      <c r="AH69" s="14">
        <f>IF(AQ69="0",BJ69,0)</f>
        <v>0</v>
      </c>
      <c r="AI69" s="46" t="s">
        <v>18</v>
      </c>
      <c r="AJ69" s="14">
        <f>IF(AN69=0,I69,0)</f>
        <v>0</v>
      </c>
      <c r="AK69" s="14">
        <f>IF(AN69=12,I69,0)</f>
        <v>0</v>
      </c>
      <c r="AL69" s="14">
        <f>IF(AN69=21,I69,0)</f>
        <v>0</v>
      </c>
      <c r="AN69" s="14">
        <v>21</v>
      </c>
      <c r="AO69" s="14">
        <f>H69*0</f>
        <v>0</v>
      </c>
      <c r="AP69" s="14">
        <f>H69*(1-0)</f>
        <v>0</v>
      </c>
      <c r="AQ69" s="13" t="s">
        <v>161</v>
      </c>
      <c r="AV69" s="14">
        <f>AW69+AX69</f>
        <v>0</v>
      </c>
      <c r="AW69" s="14">
        <f>G69*AO69</f>
        <v>0</v>
      </c>
      <c r="AX69" s="14">
        <f>G69*AP69</f>
        <v>0</v>
      </c>
      <c r="AY69" s="13" t="s">
        <v>236</v>
      </c>
      <c r="AZ69" s="13" t="s">
        <v>203</v>
      </c>
      <c r="BA69" s="46" t="s">
        <v>145</v>
      </c>
      <c r="BC69" s="14">
        <f>AW69+AX69</f>
        <v>0</v>
      </c>
      <c r="BD69" s="14">
        <f>H69/(100-BE69)*100</f>
        <v>0</v>
      </c>
      <c r="BE69" s="14">
        <v>0</v>
      </c>
      <c r="BF69" s="14">
        <f>69</f>
        <v>69</v>
      </c>
      <c r="BH69" s="14">
        <f>G69*AO69</f>
        <v>0</v>
      </c>
      <c r="BI69" s="14">
        <f>G69*AP69</f>
        <v>0</v>
      </c>
      <c r="BJ69" s="14">
        <f>G69*H69</f>
        <v>0</v>
      </c>
      <c r="BK69" s="14"/>
      <c r="BL69" s="14"/>
      <c r="BW69" s="14">
        <v>21</v>
      </c>
      <c r="BX69" s="4" t="s">
        <v>242</v>
      </c>
    </row>
    <row r="70" spans="1:76" ht="25.5" x14ac:dyDescent="0.25">
      <c r="A70" s="1" t="s">
        <v>243</v>
      </c>
      <c r="B70" s="2" t="s">
        <v>18</v>
      </c>
      <c r="C70" s="2" t="s">
        <v>244</v>
      </c>
      <c r="D70" s="74" t="s">
        <v>245</v>
      </c>
      <c r="E70" s="69"/>
      <c r="F70" s="2" t="s">
        <v>164</v>
      </c>
      <c r="G70" s="14">
        <v>11.617000000000001</v>
      </c>
      <c r="H70" s="14">
        <v>0</v>
      </c>
      <c r="I70" s="14">
        <f>G70*H70</f>
        <v>0</v>
      </c>
      <c r="K70" s="52"/>
      <c r="Z70" s="14">
        <f>IF(AQ70="5",BJ70,0)</f>
        <v>0</v>
      </c>
      <c r="AB70" s="14">
        <f>IF(AQ70="1",BH70,0)</f>
        <v>0</v>
      </c>
      <c r="AC70" s="14">
        <f>IF(AQ70="1",BI70,0)</f>
        <v>0</v>
      </c>
      <c r="AD70" s="14">
        <f>IF(AQ70="7",BH70,0)</f>
        <v>0</v>
      </c>
      <c r="AE70" s="14">
        <f>IF(AQ70="7",BI70,0)</f>
        <v>0</v>
      </c>
      <c r="AF70" s="14">
        <f>IF(AQ70="2",BH70,0)</f>
        <v>0</v>
      </c>
      <c r="AG70" s="14">
        <f>IF(AQ70="2",BI70,0)</f>
        <v>0</v>
      </c>
      <c r="AH70" s="14">
        <f>IF(AQ70="0",BJ70,0)</f>
        <v>0</v>
      </c>
      <c r="AI70" s="46" t="s">
        <v>18</v>
      </c>
      <c r="AJ70" s="14">
        <f>IF(AN70=0,I70,0)</f>
        <v>0</v>
      </c>
      <c r="AK70" s="14">
        <f>IF(AN70=12,I70,0)</f>
        <v>0</v>
      </c>
      <c r="AL70" s="14">
        <f>IF(AN70=21,I70,0)</f>
        <v>0</v>
      </c>
      <c r="AN70" s="14">
        <v>21</v>
      </c>
      <c r="AO70" s="14">
        <f>H70*0</f>
        <v>0</v>
      </c>
      <c r="AP70" s="14">
        <f>H70*(1-0)</f>
        <v>0</v>
      </c>
      <c r="AQ70" s="13" t="s">
        <v>161</v>
      </c>
      <c r="AV70" s="14">
        <f>AW70+AX70</f>
        <v>0</v>
      </c>
      <c r="AW70" s="14">
        <f>G70*AO70</f>
        <v>0</v>
      </c>
      <c r="AX70" s="14">
        <f>G70*AP70</f>
        <v>0</v>
      </c>
      <c r="AY70" s="13" t="s">
        <v>236</v>
      </c>
      <c r="AZ70" s="13" t="s">
        <v>203</v>
      </c>
      <c r="BA70" s="46" t="s">
        <v>145</v>
      </c>
      <c r="BC70" s="14">
        <f>AW70+AX70</f>
        <v>0</v>
      </c>
      <c r="BD70" s="14">
        <f>H70/(100-BE70)*100</f>
        <v>0</v>
      </c>
      <c r="BE70" s="14">
        <v>0</v>
      </c>
      <c r="BF70" s="14">
        <f>70</f>
        <v>70</v>
      </c>
      <c r="BH70" s="14">
        <f>G70*AO70</f>
        <v>0</v>
      </c>
      <c r="BI70" s="14">
        <f>G70*AP70</f>
        <v>0</v>
      </c>
      <c r="BJ70" s="14">
        <f>G70*H70</f>
        <v>0</v>
      </c>
      <c r="BK70" s="14"/>
      <c r="BL70" s="14"/>
      <c r="BW70" s="14">
        <v>21</v>
      </c>
      <c r="BX70" s="4" t="s">
        <v>245</v>
      </c>
    </row>
    <row r="71" spans="1:76" x14ac:dyDescent="0.25">
      <c r="A71" s="57" t="s">
        <v>18</v>
      </c>
      <c r="B71" s="58" t="s">
        <v>18</v>
      </c>
      <c r="C71" s="58" t="s">
        <v>40</v>
      </c>
      <c r="D71" s="144" t="s">
        <v>41</v>
      </c>
      <c r="E71" s="145"/>
      <c r="F71" s="59" t="s">
        <v>3</v>
      </c>
      <c r="G71" s="59" t="s">
        <v>3</v>
      </c>
      <c r="H71" s="59" t="s">
        <v>3</v>
      </c>
      <c r="I71" s="39">
        <f>SUM(I72:I72)</f>
        <v>0</v>
      </c>
      <c r="K71" s="52"/>
      <c r="AI71" s="46" t="s">
        <v>18</v>
      </c>
      <c r="AS71" s="39">
        <f>SUM(AJ72:AJ72)</f>
        <v>0</v>
      </c>
      <c r="AT71" s="39">
        <f>SUM(AK72:AK72)</f>
        <v>0</v>
      </c>
      <c r="AU71" s="39">
        <f>SUM(AL72:AL72)</f>
        <v>0</v>
      </c>
    </row>
    <row r="72" spans="1:76" x14ac:dyDescent="0.25">
      <c r="A72" s="1" t="s">
        <v>246</v>
      </c>
      <c r="B72" s="2" t="s">
        <v>18</v>
      </c>
      <c r="C72" s="2" t="s">
        <v>247</v>
      </c>
      <c r="D72" s="74" t="s">
        <v>265</v>
      </c>
      <c r="E72" s="69"/>
      <c r="F72" s="2" t="s">
        <v>142</v>
      </c>
      <c r="G72" s="14">
        <v>49.19</v>
      </c>
      <c r="H72" s="14">
        <v>0</v>
      </c>
      <c r="I72" s="14">
        <f>G72*H72</f>
        <v>0</v>
      </c>
      <c r="K72" s="52"/>
      <c r="Z72" s="14">
        <f>IF(AQ72="5",BJ72,0)</f>
        <v>0</v>
      </c>
      <c r="AB72" s="14">
        <f>IF(AQ72="1",BH72,0)</f>
        <v>0</v>
      </c>
      <c r="AC72" s="14">
        <f>IF(AQ72="1",BI72,0)</f>
        <v>0</v>
      </c>
      <c r="AD72" s="14">
        <f>IF(AQ72="7",BH72,0)</f>
        <v>0</v>
      </c>
      <c r="AE72" s="14">
        <f>IF(AQ72="7",BI72,0)</f>
        <v>0</v>
      </c>
      <c r="AF72" s="14">
        <f>IF(AQ72="2",BH72,0)</f>
        <v>0</v>
      </c>
      <c r="AG72" s="14">
        <f>IF(AQ72="2",BI72,0)</f>
        <v>0</v>
      </c>
      <c r="AH72" s="14">
        <f>IF(AQ72="0",BJ72,0)</f>
        <v>0</v>
      </c>
      <c r="AI72" s="46" t="s">
        <v>18</v>
      </c>
      <c r="AJ72" s="14">
        <f>IF(AN72=0,I72,0)</f>
        <v>0</v>
      </c>
      <c r="AK72" s="14">
        <f>IF(AN72=12,I72,0)</f>
        <v>0</v>
      </c>
      <c r="AL72" s="14">
        <f>IF(AN72=21,I72,0)</f>
        <v>0</v>
      </c>
      <c r="AN72" s="14">
        <v>21</v>
      </c>
      <c r="AO72" s="14">
        <f>H72*0.618744923</f>
        <v>0</v>
      </c>
      <c r="AP72" s="14">
        <f>H72*(1-0.618744923)</f>
        <v>0</v>
      </c>
      <c r="AQ72" s="13" t="s">
        <v>173</v>
      </c>
      <c r="AV72" s="14">
        <f>AW72+AX72</f>
        <v>0</v>
      </c>
      <c r="AW72" s="14">
        <f>G72*AO72</f>
        <v>0</v>
      </c>
      <c r="AX72" s="14">
        <f>G72*AP72</f>
        <v>0</v>
      </c>
      <c r="AY72" s="13" t="s">
        <v>249</v>
      </c>
      <c r="AZ72" s="13" t="s">
        <v>250</v>
      </c>
      <c r="BA72" s="46" t="s">
        <v>145</v>
      </c>
      <c r="BC72" s="14">
        <f>AW72+AX72</f>
        <v>0</v>
      </c>
      <c r="BD72" s="14">
        <f>H72/(100-BE72)*100</f>
        <v>0</v>
      </c>
      <c r="BE72" s="14">
        <v>0</v>
      </c>
      <c r="BF72" s="14">
        <f>72</f>
        <v>72</v>
      </c>
      <c r="BH72" s="14">
        <f>G72*AO72</f>
        <v>0</v>
      </c>
      <c r="BI72" s="14">
        <f>G72*AP72</f>
        <v>0</v>
      </c>
      <c r="BJ72" s="14">
        <f>G72*H72</f>
        <v>0</v>
      </c>
      <c r="BK72" s="14"/>
      <c r="BL72" s="14">
        <v>783</v>
      </c>
      <c r="BW72" s="14">
        <v>21</v>
      </c>
      <c r="BX72" s="4" t="s">
        <v>248</v>
      </c>
    </row>
    <row r="73" spans="1:76" x14ac:dyDescent="0.25">
      <c r="A73" s="60"/>
      <c r="D73" s="61" t="s">
        <v>251</v>
      </c>
      <c r="E73" s="61" t="s">
        <v>18</v>
      </c>
      <c r="G73" s="62">
        <v>23.52</v>
      </c>
      <c r="K73" s="52"/>
    </row>
    <row r="74" spans="1:76" x14ac:dyDescent="0.25">
      <c r="A74" s="60"/>
      <c r="D74" s="61" t="s">
        <v>171</v>
      </c>
      <c r="E74" s="61" t="s">
        <v>18</v>
      </c>
      <c r="G74" s="62">
        <v>21.47</v>
      </c>
      <c r="K74" s="52"/>
    </row>
    <row r="75" spans="1:76" x14ac:dyDescent="0.25">
      <c r="A75" s="60"/>
      <c r="D75" s="61" t="s">
        <v>252</v>
      </c>
      <c r="E75" s="61" t="s">
        <v>18</v>
      </c>
      <c r="G75" s="62">
        <v>4.2</v>
      </c>
      <c r="K75" s="52"/>
    </row>
    <row r="76" spans="1:76" x14ac:dyDescent="0.25">
      <c r="A76" s="57" t="s">
        <v>18</v>
      </c>
      <c r="B76" s="58" t="s">
        <v>18</v>
      </c>
      <c r="C76" s="58" t="s">
        <v>42</v>
      </c>
      <c r="D76" s="144" t="s">
        <v>43</v>
      </c>
      <c r="E76" s="145"/>
      <c r="F76" s="59" t="s">
        <v>3</v>
      </c>
      <c r="G76" s="59" t="s">
        <v>3</v>
      </c>
      <c r="H76" s="59" t="s">
        <v>3</v>
      </c>
      <c r="I76" s="39">
        <f>I77</f>
        <v>0</v>
      </c>
      <c r="K76" s="52"/>
      <c r="AI76" s="46" t="s">
        <v>18</v>
      </c>
    </row>
    <row r="77" spans="1:76" x14ac:dyDescent="0.25">
      <c r="A77" s="57" t="s">
        <v>18</v>
      </c>
      <c r="B77" s="58" t="s">
        <v>18</v>
      </c>
      <c r="C77" s="58" t="s">
        <v>45</v>
      </c>
      <c r="D77" s="144" t="s">
        <v>46</v>
      </c>
      <c r="E77" s="145"/>
      <c r="F77" s="59" t="s">
        <v>3</v>
      </c>
      <c r="G77" s="59" t="s">
        <v>3</v>
      </c>
      <c r="H77" s="59" t="s">
        <v>3</v>
      </c>
      <c r="I77" s="39">
        <f>SUM(I78:I78)</f>
        <v>0</v>
      </c>
      <c r="K77" s="52"/>
      <c r="AI77" s="46" t="s">
        <v>18</v>
      </c>
      <c r="AS77" s="39">
        <f>SUM(AJ78:AJ78)</f>
        <v>0</v>
      </c>
      <c r="AT77" s="39">
        <f>SUM(AK78:AK78)</f>
        <v>0</v>
      </c>
      <c r="AU77" s="39">
        <f>SUM(AL78:AL78)</f>
        <v>0</v>
      </c>
    </row>
    <row r="78" spans="1:76" x14ac:dyDescent="0.25">
      <c r="A78" s="16" t="s">
        <v>253</v>
      </c>
      <c r="B78" s="5" t="s">
        <v>18</v>
      </c>
      <c r="C78" s="5" t="s">
        <v>254</v>
      </c>
      <c r="D78" s="146" t="s">
        <v>255</v>
      </c>
      <c r="E78" s="77"/>
      <c r="F78" s="5" t="s">
        <v>256</v>
      </c>
      <c r="G78" s="64">
        <v>1</v>
      </c>
      <c r="H78" s="64">
        <v>0</v>
      </c>
      <c r="I78" s="64">
        <f>G78*H78</f>
        <v>0</v>
      </c>
      <c r="J78" s="65"/>
      <c r="K78" s="66"/>
      <c r="Z78" s="14">
        <f>IF(AQ78="5",BJ78,0)</f>
        <v>0</v>
      </c>
      <c r="AB78" s="14">
        <f>IF(AQ78="1",BH78,0)</f>
        <v>0</v>
      </c>
      <c r="AC78" s="14">
        <f>IF(AQ78="1",BI78,0)</f>
        <v>0</v>
      </c>
      <c r="AD78" s="14">
        <f>IF(AQ78="7",BH78,0)</f>
        <v>0</v>
      </c>
      <c r="AE78" s="14">
        <f>IF(AQ78="7",BI78,0)</f>
        <v>0</v>
      </c>
      <c r="AF78" s="14">
        <f>IF(AQ78="2",BH78,0)</f>
        <v>0</v>
      </c>
      <c r="AG78" s="14">
        <f>IF(AQ78="2",BI78,0)</f>
        <v>0</v>
      </c>
      <c r="AH78" s="14">
        <f>IF(AQ78="0",BJ78,0)</f>
        <v>0</v>
      </c>
      <c r="AI78" s="46" t="s">
        <v>18</v>
      </c>
      <c r="AJ78" s="14">
        <f>IF(AN78=0,I78,0)</f>
        <v>0</v>
      </c>
      <c r="AK78" s="14">
        <f>IF(AN78=12,I78,0)</f>
        <v>0</v>
      </c>
      <c r="AL78" s="14">
        <f>IF(AN78=21,I78,0)</f>
        <v>0</v>
      </c>
      <c r="AN78" s="14">
        <v>21</v>
      </c>
      <c r="AO78" s="14">
        <f>H78*0</f>
        <v>0</v>
      </c>
      <c r="AP78" s="14">
        <f>H78*(1-0)</f>
        <v>0</v>
      </c>
      <c r="AQ78" s="13" t="s">
        <v>257</v>
      </c>
      <c r="AV78" s="14">
        <f>AW78+AX78</f>
        <v>0</v>
      </c>
      <c r="AW78" s="14">
        <f>G78*AO78</f>
        <v>0</v>
      </c>
      <c r="AX78" s="14">
        <f>G78*AP78</f>
        <v>0</v>
      </c>
      <c r="AY78" s="13" t="s">
        <v>258</v>
      </c>
      <c r="AZ78" s="13" t="s">
        <v>259</v>
      </c>
      <c r="BA78" s="46" t="s">
        <v>145</v>
      </c>
      <c r="BC78" s="14">
        <f>AW78+AX78</f>
        <v>0</v>
      </c>
      <c r="BD78" s="14">
        <f>H78/(100-BE78)*100</f>
        <v>0</v>
      </c>
      <c r="BE78" s="14">
        <v>0</v>
      </c>
      <c r="BF78" s="14">
        <f>78</f>
        <v>78</v>
      </c>
      <c r="BH78" s="14">
        <f>G78*AO78</f>
        <v>0</v>
      </c>
      <c r="BI78" s="14">
        <f>G78*AP78</f>
        <v>0</v>
      </c>
      <c r="BJ78" s="14">
        <f>G78*H78</f>
        <v>0</v>
      </c>
      <c r="BK78" s="14"/>
      <c r="BL78" s="14"/>
      <c r="BS78" s="14">
        <f>G78*H78</f>
        <v>0</v>
      </c>
      <c r="BW78" s="14">
        <v>21</v>
      </c>
      <c r="BX78" s="4" t="s">
        <v>255</v>
      </c>
    </row>
    <row r="79" spans="1:76" x14ac:dyDescent="0.25">
      <c r="I79" s="67">
        <f>I12+I14+I28+I32+I37+I43+I48+I52+I59+I65+I71+I77</f>
        <v>0</v>
      </c>
    </row>
    <row r="80" spans="1:76" x14ac:dyDescent="0.25">
      <c r="A80" s="68" t="s">
        <v>93</v>
      </c>
    </row>
    <row r="81" spans="1:11" ht="12.75" customHeight="1" x14ac:dyDescent="0.25">
      <c r="A81" s="74" t="s">
        <v>18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</row>
  </sheetData>
  <mergeCells count="70">
    <mergeCell ref="A1:K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  <mergeCell ref="J2:K3"/>
    <mergeCell ref="J4:K5"/>
    <mergeCell ref="J6:K7"/>
    <mergeCell ref="J8:K9"/>
    <mergeCell ref="D10:E10"/>
    <mergeCell ref="D8:E9"/>
    <mergeCell ref="H2:H3"/>
    <mergeCell ref="H4:H5"/>
    <mergeCell ref="H6:H7"/>
    <mergeCell ref="H8:H9"/>
    <mergeCell ref="D11:E11"/>
    <mergeCell ref="D12:E12"/>
    <mergeCell ref="D13:E13"/>
    <mergeCell ref="D14:E14"/>
    <mergeCell ref="D15:E15"/>
    <mergeCell ref="D17:E17"/>
    <mergeCell ref="D20:E20"/>
    <mergeCell ref="D21:E21"/>
    <mergeCell ref="D22:K22"/>
    <mergeCell ref="D24:E24"/>
    <mergeCell ref="D25:K25"/>
    <mergeCell ref="D28:E28"/>
    <mergeCell ref="D29:E29"/>
    <mergeCell ref="D32:E32"/>
    <mergeCell ref="D33:E33"/>
    <mergeCell ref="D34:K34"/>
    <mergeCell ref="D37:E37"/>
    <mergeCell ref="D38:E38"/>
    <mergeCell ref="D39:E39"/>
    <mergeCell ref="D40:K40"/>
    <mergeCell ref="D41:E41"/>
    <mergeCell ref="D42:K42"/>
    <mergeCell ref="D43:E43"/>
    <mergeCell ref="D44:E44"/>
    <mergeCell ref="D47:E47"/>
    <mergeCell ref="D48:E48"/>
    <mergeCell ref="D49:E49"/>
    <mergeCell ref="D52:E52"/>
    <mergeCell ref="D53:E53"/>
    <mergeCell ref="D56:E56"/>
    <mergeCell ref="D59:E59"/>
    <mergeCell ref="D60:E60"/>
    <mergeCell ref="D63:E63"/>
    <mergeCell ref="D65:E65"/>
    <mergeCell ref="D66:E66"/>
    <mergeCell ref="D76:E76"/>
    <mergeCell ref="D77:E77"/>
    <mergeCell ref="D78:E78"/>
    <mergeCell ref="A81:K81"/>
    <mergeCell ref="D67:E67"/>
    <mergeCell ref="D69:E69"/>
    <mergeCell ref="D70:E70"/>
    <mergeCell ref="D71:E71"/>
    <mergeCell ref="D72:E72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Stavební rozpočet - součet</vt:lpstr>
      <vt:lpstr>Krycí list rozpočtu</vt:lpstr>
      <vt:lpstr>VORN</vt:lpstr>
      <vt:lpstr>Stavební rozpočet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Charuza Pavel</cp:lastModifiedBy>
  <dcterms:created xsi:type="dcterms:W3CDTF">2021-06-10T20:06:38Z</dcterms:created>
  <dcterms:modified xsi:type="dcterms:W3CDTF">2024-11-05T12:01:14Z</dcterms:modified>
</cp:coreProperties>
</file>