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AQE\AKCIE\2019\Levice_parkoviska\FINAL\VV_a_Rozpocty\Saratovska\VV\"/>
    </mc:Choice>
  </mc:AlternateContent>
  <bookViews>
    <workbookView xWindow="0" yWindow="0" windowWidth="28800" windowHeight="12645" tabRatio="788"/>
  </bookViews>
  <sheets>
    <sheet name="Vegetacia" sheetId="17" r:id="rId1"/>
    <sheet name="Vegetacia (2)" sheetId="24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17" l="1"/>
  <c r="F41" i="17"/>
  <c r="D40" i="17"/>
  <c r="H40" i="17" s="1"/>
  <c r="D39" i="17"/>
  <c r="H39" i="17" s="1"/>
  <c r="D38" i="17"/>
  <c r="H38" i="17" s="1"/>
  <c r="I41" i="17" l="1"/>
  <c r="D42" i="17"/>
  <c r="H42" i="17" s="1"/>
  <c r="F42" i="17"/>
  <c r="F38" i="17"/>
  <c r="I38" i="17" s="1"/>
  <c r="F40" i="17"/>
  <c r="I40" i="17" s="1"/>
  <c r="F39" i="17"/>
  <c r="I39" i="17" s="1"/>
  <c r="J14" i="17"/>
  <c r="H14" i="17"/>
  <c r="F14" i="17"/>
  <c r="I42" i="17" l="1"/>
  <c r="I14" i="17"/>
  <c r="D15" i="17"/>
  <c r="F15" i="17" s="1"/>
  <c r="D19" i="17"/>
  <c r="D30" i="17"/>
  <c r="D31" i="17" s="1"/>
  <c r="J31" i="17" s="1"/>
  <c r="D32" i="17"/>
  <c r="D33" i="17"/>
  <c r="D34" i="17"/>
  <c r="D23" i="17"/>
  <c r="H23" i="17" s="1"/>
  <c r="D22" i="17"/>
  <c r="H22" i="17" s="1"/>
  <c r="D21" i="17"/>
  <c r="H21" i="17" s="1"/>
  <c r="H19" i="17"/>
  <c r="H15" i="17" l="1"/>
  <c r="H30" i="17"/>
  <c r="D24" i="17"/>
  <c r="D20" i="17"/>
  <c r="J20" i="17" s="1"/>
  <c r="F30" i="17"/>
  <c r="F19" i="17"/>
  <c r="I19" i="17" s="1"/>
  <c r="F23" i="17"/>
  <c r="I23" i="17" s="1"/>
  <c r="F21" i="17"/>
  <c r="I21" i="17" s="1"/>
  <c r="F22" i="17"/>
  <c r="I22" i="17" s="1"/>
  <c r="I15" i="17" l="1"/>
  <c r="I30" i="17"/>
  <c r="H31" i="17"/>
  <c r="F31" i="17"/>
  <c r="H20" i="17"/>
  <c r="F20" i="17"/>
  <c r="I31" i="17" l="1"/>
  <c r="I20" i="17"/>
  <c r="D36" i="17" l="1"/>
  <c r="J36" i="17" s="1"/>
  <c r="D25" i="17"/>
  <c r="J25" i="17" s="1"/>
  <c r="H24" i="17" l="1"/>
  <c r="F24" i="17"/>
  <c r="H59" i="24"/>
  <c r="F59" i="24"/>
  <c r="H58" i="24"/>
  <c r="F58" i="24"/>
  <c r="H57" i="24"/>
  <c r="F57" i="24"/>
  <c r="H56" i="24"/>
  <c r="F56" i="24"/>
  <c r="D54" i="24"/>
  <c r="H54" i="24" s="1"/>
  <c r="D53" i="24"/>
  <c r="H53" i="24" s="1"/>
  <c r="D52" i="24"/>
  <c r="H52" i="24" s="1"/>
  <c r="D51" i="24"/>
  <c r="H51" i="24" s="1"/>
  <c r="H50" i="24"/>
  <c r="F50" i="24"/>
  <c r="H49" i="24"/>
  <c r="F49" i="24"/>
  <c r="H46" i="24"/>
  <c r="F46" i="24"/>
  <c r="H45" i="24"/>
  <c r="F45" i="24"/>
  <c r="H44" i="24"/>
  <c r="F44" i="24"/>
  <c r="H43" i="24"/>
  <c r="F43" i="24"/>
  <c r="H42" i="24"/>
  <c r="I42" i="24" s="1"/>
  <c r="F42" i="24"/>
  <c r="H41" i="24"/>
  <c r="F41" i="24"/>
  <c r="H40" i="24"/>
  <c r="F40" i="24"/>
  <c r="D39" i="24"/>
  <c r="J39" i="24" s="1"/>
  <c r="H38" i="24"/>
  <c r="I38" i="24" s="1"/>
  <c r="F38" i="24"/>
  <c r="J37" i="24"/>
  <c r="H37" i="24"/>
  <c r="F37" i="24"/>
  <c r="H36" i="24"/>
  <c r="F36" i="24"/>
  <c r="I36" i="24" s="1"/>
  <c r="J35" i="24"/>
  <c r="H35" i="24"/>
  <c r="F35" i="24"/>
  <c r="D33" i="24"/>
  <c r="H33" i="24" s="1"/>
  <c r="H32" i="24"/>
  <c r="I32" i="24" s="1"/>
  <c r="F32" i="24"/>
  <c r="D31" i="24"/>
  <c r="F31" i="24" s="1"/>
  <c r="D30" i="24"/>
  <c r="F30" i="24" s="1"/>
  <c r="H29" i="24"/>
  <c r="F29" i="24"/>
  <c r="H28" i="24"/>
  <c r="F28" i="24"/>
  <c r="H27" i="24"/>
  <c r="I27" i="24" s="1"/>
  <c r="F27" i="24"/>
  <c r="J26" i="24"/>
  <c r="H26" i="24"/>
  <c r="F26" i="24"/>
  <c r="J25" i="24"/>
  <c r="H25" i="24"/>
  <c r="F25" i="24"/>
  <c r="J24" i="24"/>
  <c r="H24" i="24"/>
  <c r="F24" i="24"/>
  <c r="D22" i="24"/>
  <c r="H22" i="24" s="1"/>
  <c r="H21" i="24"/>
  <c r="F21" i="24"/>
  <c r="I21" i="24" s="1"/>
  <c r="H20" i="24"/>
  <c r="F20" i="24"/>
  <c r="D19" i="24"/>
  <c r="H19" i="24" s="1"/>
  <c r="H18" i="24"/>
  <c r="F18" i="24"/>
  <c r="D18" i="24"/>
  <c r="D17" i="24"/>
  <c r="H17" i="24" s="1"/>
  <c r="D16" i="24"/>
  <c r="H16" i="24" s="1"/>
  <c r="J15" i="24"/>
  <c r="H15" i="24"/>
  <c r="F15" i="24"/>
  <c r="J14" i="24"/>
  <c r="H14" i="24"/>
  <c r="I14" i="24" s="1"/>
  <c r="F14" i="24"/>
  <c r="I18" i="24" l="1"/>
  <c r="I37" i="24"/>
  <c r="I44" i="24"/>
  <c r="I46" i="24"/>
  <c r="I59" i="24"/>
  <c r="F17" i="24"/>
  <c r="I24" i="24"/>
  <c r="H31" i="24"/>
  <c r="I31" i="24" s="1"/>
  <c r="F39" i="24"/>
  <c r="I17" i="24"/>
  <c r="I50" i="24"/>
  <c r="I57" i="24"/>
  <c r="I29" i="24"/>
  <c r="I43" i="24"/>
  <c r="I45" i="24"/>
  <c r="I56" i="24"/>
  <c r="I58" i="24"/>
  <c r="I24" i="17"/>
  <c r="H33" i="17"/>
  <c r="F33" i="17"/>
  <c r="H32" i="17"/>
  <c r="F32" i="17"/>
  <c r="H34" i="17"/>
  <c r="F34" i="17"/>
  <c r="F16" i="24"/>
  <c r="I16" i="24" s="1"/>
  <c r="I20" i="24"/>
  <c r="I26" i="24"/>
  <c r="I35" i="24"/>
  <c r="H39" i="24"/>
  <c r="I39" i="24" s="1"/>
  <c r="I41" i="24"/>
  <c r="I15" i="24"/>
  <c r="F19" i="24"/>
  <c r="I19" i="24" s="1"/>
  <c r="I25" i="24"/>
  <c r="I28" i="24"/>
  <c r="H30" i="24"/>
  <c r="I40" i="24"/>
  <c r="I49" i="24"/>
  <c r="J47" i="24"/>
  <c r="D47" i="24" s="1"/>
  <c r="I30" i="24"/>
  <c r="F22" i="24"/>
  <c r="I22" i="24" s="1"/>
  <c r="F33" i="24"/>
  <c r="I33" i="24" s="1"/>
  <c r="F51" i="24"/>
  <c r="I51" i="24" s="1"/>
  <c r="F52" i="24"/>
  <c r="I52" i="24" s="1"/>
  <c r="F53" i="24"/>
  <c r="I53" i="24" s="1"/>
  <c r="F54" i="24"/>
  <c r="I54" i="24" s="1"/>
  <c r="M46" i="24"/>
  <c r="I34" i="17" l="1"/>
  <c r="I33" i="17"/>
  <c r="I32" i="17"/>
  <c r="F47" i="24"/>
  <c r="F60" i="24" s="1"/>
  <c r="F62" i="24" s="1"/>
  <c r="H47" i="24"/>
  <c r="I47" i="24" l="1"/>
  <c r="I60" i="24" s="1"/>
  <c r="H60" i="24"/>
  <c r="H62" i="24" s="1"/>
  <c r="F36" i="17"/>
  <c r="I62" i="24" l="1"/>
  <c r="I63" i="24" s="1"/>
  <c r="H36" i="17"/>
  <c r="I36" i="17" s="1"/>
  <c r="H17" i="17" l="1"/>
  <c r="H43" i="17" s="1"/>
  <c r="H18" i="17"/>
  <c r="H27" i="17"/>
  <c r="H28" i="17"/>
  <c r="H29" i="17"/>
  <c r="H35" i="17"/>
  <c r="F17" i="17"/>
  <c r="F18" i="17"/>
  <c r="F27" i="17"/>
  <c r="F28" i="17"/>
  <c r="F29" i="17"/>
  <c r="F35" i="17"/>
  <c r="H25" i="17"/>
  <c r="I35" i="17" l="1"/>
  <c r="I28" i="17"/>
  <c r="I29" i="17"/>
  <c r="I27" i="17"/>
  <c r="F25" i="17"/>
  <c r="I25" i="17" s="1"/>
  <c r="I18" i="17"/>
  <c r="I17" i="17"/>
  <c r="J28" i="17"/>
  <c r="J27" i="17"/>
  <c r="J17" i="17"/>
  <c r="J18" i="17"/>
  <c r="I43" i="17" l="1"/>
  <c r="F43" i="17"/>
  <c r="F45" i="17"/>
  <c r="H45" i="17"/>
  <c r="I45" i="17" l="1"/>
  <c r="I46" i="17" s="1"/>
</calcChain>
</file>

<file path=xl/sharedStrings.xml><?xml version="1.0" encoding="utf-8"?>
<sst xmlns="http://schemas.openxmlformats.org/spreadsheetml/2006/main" count="194" uniqueCount="105">
  <si>
    <t>MJ</t>
  </si>
  <si>
    <t>Dodávka</t>
  </si>
  <si>
    <t>Množstvo celkom</t>
  </si>
  <si>
    <t>Montáž</t>
  </si>
  <si>
    <t>Cena celkom</t>
  </si>
  <si>
    <t>Cena jednotková</t>
  </si>
  <si>
    <t>P.Č.</t>
  </si>
  <si>
    <t>ks</t>
  </si>
  <si>
    <t>jedn.cena montáž</t>
  </si>
  <si>
    <t>ROZPOČET</t>
  </si>
  <si>
    <t>Revitalizácia plôch spolu bez DPH</t>
  </si>
  <si>
    <t>Prvok</t>
  </si>
  <si>
    <t>SPOLU s DPH</t>
  </si>
  <si>
    <t>m2</t>
  </si>
  <si>
    <t>Dátum:</t>
  </si>
  <si>
    <t>INVESTOR:</t>
  </si>
  <si>
    <t>Kontakt: :: +421 915 744 006 ::dusan@gardn.sk :: www.gardn.sk :: www.vtaciebudky.sk</t>
  </si>
  <si>
    <t>Kondicionér (napr. Agrosil LR) 50g/výsadbovú jamu kra</t>
  </si>
  <si>
    <t>Hnojivo N,P,K (napr. Osmocote) 25g/výsadbovú jamu kra</t>
  </si>
  <si>
    <t>Mulčovanie vysadených rastlín kôrou z ihličnatých drevín fr. 0/40mm  hr. 70-100mm</t>
  </si>
  <si>
    <t>DPH 20%</t>
  </si>
  <si>
    <t>m</t>
  </si>
  <si>
    <t>m3</t>
  </si>
  <si>
    <t xml:space="preserve">Projektant: </t>
  </si>
  <si>
    <t>Ing. Dušan Daniš, PhD., Ing. Lucia Vrbiniaková, PhD.</t>
  </si>
  <si>
    <t xml:space="preserve">Vypracoval:  </t>
  </si>
  <si>
    <t xml:space="preserve">Kontroloval: </t>
  </si>
  <si>
    <t>Navrhované listnaté dreviny</t>
  </si>
  <si>
    <t>Kondicionér (napr. Agrosil LR) 150g/výsadbovú jamu stromu</t>
  </si>
  <si>
    <t>Hnojivo N,P,K (napr. Osmocote) 50g/výsadbovú jamu stromu</t>
  </si>
  <si>
    <t xml:space="preserve">50 mm: extenzívny strešný substrát  </t>
  </si>
  <si>
    <t>Hmotnosť celkom (t)</t>
  </si>
  <si>
    <t>kg</t>
  </si>
  <si>
    <t>Rozchodníkové rezky (80g/m2)</t>
  </si>
  <si>
    <t>Presun hmôt pre sadové úpravy</t>
  </si>
  <si>
    <t>t</t>
  </si>
  <si>
    <t>Príprava záhonov - terénna modelácia, kontravátorovanie, hrabanie</t>
  </si>
  <si>
    <t>Zalievanie vysadených stromov (10l/ks) 10×</t>
  </si>
  <si>
    <t>STAVBA:                            NOVOSTAVBA OBCHODNEJ GALÉRIE
ČASŤ:                                 SO 16-2 – SADOVÉ ÚPRAVY
MIESTO STAVBY:             k.ú. Levice, parc.č. 9395/4, 9395/5</t>
  </si>
  <si>
    <t xml:space="preserve">RETAIL INVEST LV, s.r.o.  
Sládkovičova 1, 
949 01 Nitra
</t>
  </si>
  <si>
    <t>Kotvenie drevín - 3 x kolom, dĺžky 2500mm, priemeru nad 40mm</t>
  </si>
  <si>
    <t>Založenie trávnikov výsevom</t>
  </si>
  <si>
    <t>Príprava pôdy odstránením vegetácie chemicky</t>
  </si>
  <si>
    <t>Príprava pôdy kontravátorovaním, hrabaním, valcovaním a úpravou nerovností terénu do 115mm</t>
  </si>
  <si>
    <t>Pôdny kondicionér napr. Agrosil LR v dávke 150g/m2</t>
  </si>
  <si>
    <t>Hnojenie anorganickým hnojivom N-P-K (0,040 kg/1m²)</t>
  </si>
  <si>
    <t>Trávnik intenzívny - založenie výsevom 50g/m2</t>
  </si>
  <si>
    <t>Zálievka trávnika 2l/m2/deň  (denne v prvých dvoch týždňoch -14x)</t>
  </si>
  <si>
    <t>Navrhované listnaté kry a trvalky</t>
  </si>
  <si>
    <t>Lonicera xylosteum v 40/60</t>
  </si>
  <si>
    <t>Pennisetum alopecuroides K9</t>
  </si>
  <si>
    <t xml:space="preserve">Protikoreňová bariéra GreenMax – TRG </t>
  </si>
  <si>
    <t>Zálievka 2l/m2/deň  (denne v prvých dvoch týždňoch -14x)</t>
  </si>
  <si>
    <t xml:space="preserve">Geotextília (netkaná) 150 g /m² </t>
  </si>
  <si>
    <t>Kamenivo fr. 32/64mm (hr. 200 mm)</t>
  </si>
  <si>
    <t>Kamenivo fr. 0/32mm (hr. 200 mm)</t>
  </si>
  <si>
    <t>Podkladový substrát napr. Ecoraster microgreen (hr. 30 mm)</t>
  </si>
  <si>
    <t>Zatrávňovacia dlažba ( hr. 50 mm) napr. Ecoraster s minerálnym substrátom napr. Ecoraster Microgreen</t>
  </si>
  <si>
    <t xml:space="preserve">Protikoreňová bariéra GreenMax RootControl </t>
  </si>
  <si>
    <t xml:space="preserve">EnviBoard20 </t>
  </si>
  <si>
    <t>Navrhovaná zelená strecha 4875 m²</t>
  </si>
  <si>
    <t>Acer campestre ok14/16</t>
  </si>
  <si>
    <t>Acer campestre ´Elsrijk´ ok14/16</t>
  </si>
  <si>
    <t>Parthenocissus tricuspidata v20/30</t>
  </si>
  <si>
    <t>Caryopteris x clandonensis ´Longwood Blue´v 40/60</t>
  </si>
  <si>
    <t>Cotoneaster dammeri v 20/30</t>
  </si>
  <si>
    <t>Obsypy z riešneho kameniva fr. 8/16mm</t>
  </si>
  <si>
    <t>Doplnky SRS 300x300x130 300 x 300 mm</t>
  </si>
  <si>
    <t>Doplnky SRS KL 100 100 mm / 80 m</t>
  </si>
  <si>
    <t>Doplnky SRS KL R1100 100 mm / 80 mm</t>
  </si>
  <si>
    <t>Doplnky SRS KL R2 100 100 mm / 80 mm</t>
  </si>
  <si>
    <t>Doplnky SRS KL R3 100 100 mm / 80 mm</t>
  </si>
  <si>
    <t>Drenážna fólia WetDrein 17mm</t>
  </si>
  <si>
    <t>Doprava a réžia</t>
  </si>
  <si>
    <t>sub</t>
  </si>
  <si>
    <t>Ing. Lucia Vrbiniaková, PhD.</t>
  </si>
  <si>
    <t>Ing. Dušan Daniš, PhD.</t>
  </si>
  <si>
    <t xml:space="preserve">Mesto Levice
</t>
  </si>
  <si>
    <t>STAVBA:                    UL. SARATOVSKÁ, LEVICE - PARKOVISKO
ČASŤ:                                 SO 03 Sadové úpravy
MIESTO STAVBY:             k.ú. Levice, parc.č. 3588/1</t>
  </si>
  <si>
    <t>Euonymus alatus v 80/100 cm</t>
  </si>
  <si>
    <t>Navrhované listnaté kry</t>
  </si>
  <si>
    <t>Pyracantha coccinea v 80/100 cm</t>
  </si>
  <si>
    <t xml:space="preserve">Zalievanie vysadených stromov (20l/ks 2×, 10l/ks 12×) </t>
  </si>
  <si>
    <t xml:space="preserve">Zalievanie vysadených krov (5l/ks 2×, 2l/ks 12×) </t>
  </si>
  <si>
    <t>Acer × Pacific Sunset ok14/16</t>
  </si>
  <si>
    <t>Acer platanoides ´Columnare´ ok14/16</t>
  </si>
  <si>
    <t>Odstránenie pôvodnej zeminy, odvoz na skládku a skládkovanie (28,08m3×1,2g/m3)</t>
  </si>
  <si>
    <t>Zeolit fr. 8/16mm 10kg/strom</t>
  </si>
  <si>
    <t>Zeolit fr. 8/16mm 1kg/ker</t>
  </si>
  <si>
    <t>Pôdny kondicionér na báze silikátových koloidov s P2O5, s pomerom obsiahnutých živín 1+10+0+45 SiO2 v dávke 200g/strom</t>
  </si>
  <si>
    <t>Pôdny kondicionér na báze silikátových koloidov s P2O5, s pomerom obsiahnutých živín 1+10+0+45 SiO2 v dávke 50g/ker</t>
  </si>
  <si>
    <t>Zakotvenie stromov + kotviace sady (pre 1 strom sada = 3x drevený kôl o priemere 8 cm a dľžke 2,5m+1xpolkol+viazací materiál, juta, trstinová rohož)</t>
  </si>
  <si>
    <t>Hnojivo N,P,K (hnojivo s postupným uvoľňovaním živín, granulované, každá granula je obalená živicovým obalom, obsahuje N,P,K a všetky nevyhnutné mikroelementy)  (50g/strom)</t>
  </si>
  <si>
    <t>Hnojivo N,P,K (hnojivo s postupným uvoľňovaním živín, granulované, každá granula je obalená živicovým obalom, obsahuje N,P,K a všetky nevyhnutné mikroelementy)  (10g/ker)</t>
  </si>
  <si>
    <t>Výmena substrátu ku krom: pôvodná zemina, záhradnícky substrát, kompost 1:3:1 (0,005m3/ks)</t>
  </si>
  <si>
    <t>Výmena substrátu k stromom: pôvodná zemina, záhradnícky substrát, kompost 1:3:1 (0,1m3/ks)</t>
  </si>
  <si>
    <t>Výruby</t>
  </si>
  <si>
    <t>Výrub stromov priemeru do 30cm</t>
  </si>
  <si>
    <t>Odvoz biomasy a likvidácia</t>
  </si>
  <si>
    <t>Revitalizácia trávnika popri novej komunikácii</t>
  </si>
  <si>
    <t>Doplnenie a náhrada pôdy po stavebnej činnosti: záhradnícky substrát zmiešaný s ornicou v pomere 1:2 v hl. 300mm</t>
  </si>
  <si>
    <t>Pôdny kondicionér na báze silikátových koloidov s P2O5, s pomerom obsiahnutých živín 1+10+0+45 SiO2  v dávke 150g/m2</t>
  </si>
  <si>
    <t xml:space="preserve">Hnojenie anorganickým hnojivom N-P-K (0,040 kg/1m²) </t>
  </si>
  <si>
    <t>Trávnik extenzívny do suchých podmienok - založenie výsevom 50g/m2 - druhového zloženia s dominanciou Festuca arundinacea (80%) a dalších druhov napr. Lolium perenne (10%) a Poa pratensis (10%)</t>
  </si>
  <si>
    <t xml:space="preserve">Zálievka trávnika + dovoz vody pre zálievku 2l/m2/deň  (denne v prvých dvoch týždňoch -14x)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</si>
</sst>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"/>
    <numFmt numFmtId="165" formatCode="#,##0.00\ &quot;€&quot;"/>
  </numFmts>
  <fonts count="1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 CE"/>
      <family val="2"/>
      <charset val="238"/>
    </font>
    <font>
      <sz val="8"/>
      <color rgb="FFFF0000"/>
      <name val="Arial CE"/>
      <family val="2"/>
      <charset val="238"/>
    </font>
    <font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</borders>
  <cellStyleXfs count="14">
    <xf numFmtId="0" fontId="0" fillId="0" borderId="0"/>
    <xf numFmtId="0" fontId="5" fillId="0" borderId="0"/>
    <xf numFmtId="0" fontId="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5">
    <xf numFmtId="0" fontId="0" fillId="0" borderId="0" xfId="0"/>
    <xf numFmtId="4" fontId="6" fillId="2" borderId="7" xfId="0" applyNumberFormat="1" applyFont="1" applyFill="1" applyBorder="1" applyAlignment="1" applyProtection="1">
      <alignment wrapText="1"/>
    </xf>
    <xf numFmtId="3" fontId="6" fillId="2" borderId="8" xfId="3" applyNumberFormat="1" applyFont="1" applyFill="1" applyBorder="1" applyAlignment="1" applyProtection="1">
      <alignment horizontal="center" wrapText="1"/>
    </xf>
    <xf numFmtId="164" fontId="7" fillId="2" borderId="9" xfId="3" applyNumberFormat="1" applyFont="1" applyFill="1" applyBorder="1" applyAlignment="1" applyProtection="1">
      <alignment wrapText="1"/>
    </xf>
    <xf numFmtId="0" fontId="10" fillId="0" borderId="10" xfId="3" applyFont="1" applyBorder="1"/>
    <xf numFmtId="0" fontId="10" fillId="0" borderId="11" xfId="3" applyFont="1" applyBorder="1"/>
    <xf numFmtId="4" fontId="10" fillId="0" borderId="12" xfId="3" applyNumberFormat="1" applyFont="1" applyBorder="1"/>
    <xf numFmtId="2" fontId="10" fillId="0" borderId="10" xfId="3" applyNumberFormat="1" applyFont="1" applyBorder="1"/>
    <xf numFmtId="0" fontId="15" fillId="0" borderId="15" xfId="3" applyFont="1" applyBorder="1"/>
    <xf numFmtId="2" fontId="9" fillId="0" borderId="14" xfId="3" applyNumberFormat="1" applyFont="1" applyBorder="1"/>
    <xf numFmtId="164" fontId="6" fillId="2" borderId="15" xfId="3" applyNumberFormat="1" applyFont="1" applyFill="1" applyBorder="1" applyAlignment="1" applyProtection="1">
      <alignment wrapText="1"/>
    </xf>
    <xf numFmtId="2" fontId="9" fillId="0" borderId="1" xfId="3" applyNumberFormat="1" applyFont="1" applyBorder="1"/>
    <xf numFmtId="165" fontId="15" fillId="0" borderId="16" xfId="3" applyNumberFormat="1" applyFont="1" applyBorder="1"/>
    <xf numFmtId="0" fontId="0" fillId="0" borderId="0" xfId="0"/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0" fontId="8" fillId="0" borderId="0" xfId="0" applyNumberFormat="1" applyFont="1" applyFill="1" applyAlignment="1" applyProtection="1"/>
    <xf numFmtId="14" fontId="8" fillId="0" borderId="0" xfId="0" applyNumberFormat="1" applyFont="1" applyFill="1" applyAlignment="1" applyProtection="1"/>
    <xf numFmtId="0" fontId="7" fillId="0" borderId="0" xfId="0" applyNumberFormat="1" applyFont="1" applyFill="1" applyAlignment="1" applyProtection="1">
      <alignment horizontal="left"/>
    </xf>
    <xf numFmtId="0" fontId="12" fillId="0" borderId="0" xfId="0" applyFont="1"/>
    <xf numFmtId="164" fontId="6" fillId="2" borderId="0" xfId="0" applyNumberFormat="1" applyFont="1" applyFill="1" applyBorder="1" applyAlignment="1" applyProtection="1">
      <alignment wrapText="1"/>
    </xf>
    <xf numFmtId="0" fontId="12" fillId="0" borderId="0" xfId="0" applyFont="1" applyBorder="1"/>
    <xf numFmtId="4" fontId="12" fillId="0" borderId="0" xfId="0" applyNumberFormat="1" applyFont="1" applyBorder="1"/>
    <xf numFmtId="164" fontId="6" fillId="2" borderId="7" xfId="0" applyNumberFormat="1" applyFont="1" applyFill="1" applyBorder="1" applyAlignment="1" applyProtection="1">
      <alignment wrapText="1"/>
    </xf>
    <xf numFmtId="2" fontId="6" fillId="2" borderId="1" xfId="0" applyNumberFormat="1" applyFont="1" applyFill="1" applyBorder="1" applyAlignment="1" applyProtection="1">
      <alignment wrapText="1"/>
    </xf>
    <xf numFmtId="0" fontId="6" fillId="5" borderId="13" xfId="0" applyNumberFormat="1" applyFont="1" applyFill="1" applyBorder="1" applyAlignment="1" applyProtection="1">
      <alignment vertical="center" wrapText="1"/>
    </xf>
    <xf numFmtId="0" fontId="7" fillId="5" borderId="14" xfId="0" applyNumberFormat="1" applyFont="1" applyFill="1" applyBorder="1" applyAlignment="1" applyProtection="1">
      <alignment vertical="center" wrapText="1"/>
    </xf>
    <xf numFmtId="0" fontId="6" fillId="5" borderId="14" xfId="0" applyNumberFormat="1" applyFont="1" applyFill="1" applyBorder="1" applyAlignment="1" applyProtection="1">
      <alignment vertical="center" wrapText="1"/>
    </xf>
    <xf numFmtId="0" fontId="14" fillId="0" borderId="0" xfId="0" applyFont="1"/>
    <xf numFmtId="14" fontId="7" fillId="0" borderId="0" xfId="0" applyNumberFormat="1" applyFont="1" applyFill="1" applyAlignment="1" applyProtection="1">
      <alignment horizontal="left"/>
    </xf>
    <xf numFmtId="0" fontId="14" fillId="0" borderId="0" xfId="3" applyFont="1"/>
    <xf numFmtId="0" fontId="14" fillId="0" borderId="14" xfId="3" applyFont="1" applyBorder="1"/>
    <xf numFmtId="0" fontId="14" fillId="0" borderId="16" xfId="3" applyFont="1" applyBorder="1"/>
    <xf numFmtId="0" fontId="14" fillId="0" borderId="0" xfId="0" applyFont="1" applyBorder="1"/>
    <xf numFmtId="0" fontId="7" fillId="0" borderId="0" xfId="0" applyNumberFormat="1" applyFont="1" applyFill="1" applyAlignment="1" applyProtection="1">
      <alignment vertical="top"/>
    </xf>
    <xf numFmtId="0" fontId="14" fillId="0" borderId="0" xfId="0" applyFont="1" applyAlignment="1">
      <alignment wrapText="1"/>
    </xf>
    <xf numFmtId="2" fontId="6" fillId="2" borderId="1" xfId="0" applyNumberFormat="1" applyFont="1" applyFill="1" applyBorder="1" applyAlignment="1" applyProtection="1">
      <alignment horizontal="right" wrapText="1"/>
    </xf>
    <xf numFmtId="164" fontId="6" fillId="2" borderId="17" xfId="0" applyNumberFormat="1" applyFont="1" applyFill="1" applyBorder="1" applyAlignment="1" applyProtection="1">
      <alignment wrapText="1"/>
    </xf>
    <xf numFmtId="4" fontId="6" fillId="4" borderId="7" xfId="0" applyNumberFormat="1" applyFont="1" applyFill="1" applyBorder="1" applyAlignment="1" applyProtection="1">
      <alignment wrapText="1"/>
    </xf>
    <xf numFmtId="3" fontId="6" fillId="2" borderId="6" xfId="0" applyNumberFormat="1" applyFont="1" applyFill="1" applyBorder="1" applyAlignment="1" applyProtection="1">
      <alignment horizontal="center" wrapText="1"/>
    </xf>
    <xf numFmtId="4" fontId="6" fillId="4" borderId="1" xfId="0" applyNumberFormat="1" applyFont="1" applyFill="1" applyBorder="1" applyAlignment="1" applyProtection="1">
      <alignment wrapText="1"/>
    </xf>
    <xf numFmtId="4" fontId="6" fillId="2" borderId="1" xfId="0" applyNumberFormat="1" applyFont="1" applyFill="1" applyBorder="1" applyAlignment="1" applyProtection="1">
      <alignment wrapText="1"/>
    </xf>
    <xf numFmtId="2" fontId="6" fillId="2" borderId="7" xfId="0" applyNumberFormat="1" applyFont="1" applyFill="1" applyBorder="1" applyAlignment="1" applyProtection="1">
      <alignment wrapText="1"/>
    </xf>
    <xf numFmtId="164" fontId="6" fillId="2" borderId="1" xfId="0" applyNumberFormat="1" applyFont="1" applyFill="1" applyBorder="1" applyAlignment="1" applyProtection="1">
      <alignment wrapText="1"/>
    </xf>
    <xf numFmtId="164" fontId="6" fillId="2" borderId="18" xfId="0" applyNumberFormat="1" applyFont="1" applyFill="1" applyBorder="1" applyAlignment="1" applyProtection="1">
      <alignment wrapText="1"/>
    </xf>
    <xf numFmtId="2" fontId="6" fillId="2" borderId="18" xfId="0" applyNumberFormat="1" applyFont="1" applyFill="1" applyBorder="1" applyAlignment="1" applyProtection="1">
      <alignment wrapText="1"/>
    </xf>
    <xf numFmtId="4" fontId="6" fillId="4" borderId="18" xfId="0" applyNumberFormat="1" applyFont="1" applyFill="1" applyBorder="1" applyAlignment="1" applyProtection="1">
      <alignment wrapText="1"/>
    </xf>
    <xf numFmtId="4" fontId="6" fillId="2" borderId="19" xfId="0" applyNumberFormat="1" applyFont="1" applyFill="1" applyBorder="1" applyAlignment="1" applyProtection="1">
      <alignment wrapText="1"/>
    </xf>
    <xf numFmtId="0" fontId="6" fillId="3" borderId="20" xfId="0" applyNumberFormat="1" applyFont="1" applyFill="1" applyBorder="1" applyAlignment="1" applyProtection="1">
      <alignment horizontal="center" vertical="center" wrapText="1"/>
    </xf>
    <xf numFmtId="0" fontId="6" fillId="3" borderId="21" xfId="0" applyNumberFormat="1" applyFont="1" applyFill="1" applyBorder="1" applyAlignment="1" applyProtection="1">
      <alignment horizontal="center" vertical="center" wrapText="1"/>
    </xf>
    <xf numFmtId="4" fontId="6" fillId="2" borderId="15" xfId="0" applyNumberFormat="1" applyFont="1" applyFill="1" applyBorder="1" applyAlignment="1" applyProtection="1">
      <alignment wrapText="1"/>
    </xf>
    <xf numFmtId="4" fontId="6" fillId="2" borderId="22" xfId="0" applyNumberFormat="1" applyFont="1" applyFill="1" applyBorder="1" applyAlignment="1" applyProtection="1">
      <alignment wrapText="1"/>
    </xf>
    <xf numFmtId="4" fontId="6" fillId="2" borderId="23" xfId="0" applyNumberFormat="1" applyFont="1" applyFill="1" applyBorder="1" applyAlignment="1" applyProtection="1">
      <alignment wrapText="1"/>
    </xf>
    <xf numFmtId="4" fontId="10" fillId="0" borderId="24" xfId="3" applyNumberFormat="1" applyFont="1" applyBorder="1"/>
    <xf numFmtId="0" fontId="6" fillId="3" borderId="25" xfId="0" applyNumberFormat="1" applyFont="1" applyFill="1" applyBorder="1" applyAlignment="1" applyProtection="1">
      <alignment horizontal="center" vertical="center" wrapText="1"/>
    </xf>
    <xf numFmtId="0" fontId="6" fillId="3" borderId="26" xfId="0" applyNumberFormat="1" applyFont="1" applyFill="1" applyBorder="1" applyAlignment="1" applyProtection="1">
      <alignment horizontal="center" vertical="center" wrapText="1"/>
    </xf>
    <xf numFmtId="2" fontId="6" fillId="5" borderId="27" xfId="0" applyNumberFormat="1" applyFont="1" applyFill="1" applyBorder="1" applyAlignment="1" applyProtection="1">
      <alignment vertical="center" wrapText="1"/>
    </xf>
    <xf numFmtId="2" fontId="6" fillId="5" borderId="28" xfId="0" applyNumberFormat="1" applyFont="1" applyFill="1" applyBorder="1" applyAlignment="1" applyProtection="1">
      <alignment vertical="center" wrapText="1"/>
    </xf>
    <xf numFmtId="2" fontId="6" fillId="5" borderId="29" xfId="0" applyNumberFormat="1" applyFont="1" applyFill="1" applyBorder="1" applyAlignment="1" applyProtection="1">
      <alignment vertical="center" wrapText="1"/>
    </xf>
    <xf numFmtId="2" fontId="6" fillId="5" borderId="30" xfId="0" applyNumberFormat="1" applyFont="1" applyFill="1" applyBorder="1" applyAlignment="1" applyProtection="1">
      <alignment vertical="center" wrapText="1"/>
    </xf>
    <xf numFmtId="4" fontId="7" fillId="5" borderId="14" xfId="0" applyNumberFormat="1" applyFont="1" applyFill="1" applyBorder="1" applyAlignment="1" applyProtection="1">
      <alignment vertical="center" wrapText="1"/>
    </xf>
    <xf numFmtId="0" fontId="13" fillId="5" borderId="14" xfId="0" applyNumberFormat="1" applyFont="1" applyFill="1" applyBorder="1" applyAlignment="1" applyProtection="1">
      <alignment vertical="center" wrapText="1"/>
    </xf>
    <xf numFmtId="164" fontId="6" fillId="2" borderId="19" xfId="0" applyNumberFormat="1" applyFont="1" applyFill="1" applyBorder="1" applyAlignment="1" applyProtection="1">
      <alignment wrapText="1"/>
    </xf>
    <xf numFmtId="3" fontId="6" fillId="2" borderId="1" xfId="0" applyNumberFormat="1" applyFont="1" applyFill="1" applyBorder="1" applyAlignment="1" applyProtection="1">
      <alignment horizontal="center" wrapText="1"/>
    </xf>
    <xf numFmtId="4" fontId="17" fillId="4" borderId="1" xfId="0" applyNumberFormat="1" applyFont="1" applyFill="1" applyBorder="1" applyAlignment="1" applyProtection="1">
      <alignment wrapText="1"/>
    </xf>
    <xf numFmtId="0" fontId="17" fillId="5" borderId="28" xfId="0" applyNumberFormat="1" applyFont="1" applyFill="1" applyBorder="1" applyAlignment="1" applyProtection="1">
      <alignment vertical="center" wrapText="1"/>
    </xf>
    <xf numFmtId="0" fontId="17" fillId="5" borderId="27" xfId="0" applyNumberFormat="1" applyFont="1" applyFill="1" applyBorder="1" applyAlignment="1" applyProtection="1">
      <alignment vertical="center" wrapText="1"/>
    </xf>
    <xf numFmtId="3" fontId="6" fillId="0" borderId="6" xfId="0" applyNumberFormat="1" applyFont="1" applyFill="1" applyBorder="1" applyAlignment="1" applyProtection="1">
      <alignment horizontal="center" wrapText="1"/>
    </xf>
    <xf numFmtId="3" fontId="17" fillId="0" borderId="6" xfId="0" applyNumberFormat="1" applyFont="1" applyFill="1" applyBorder="1" applyAlignment="1" applyProtection="1">
      <alignment horizontal="center" wrapText="1"/>
    </xf>
    <xf numFmtId="164" fontId="17" fillId="2" borderId="1" xfId="0" applyNumberFormat="1" applyFont="1" applyFill="1" applyBorder="1" applyAlignment="1" applyProtection="1">
      <alignment wrapText="1"/>
    </xf>
    <xf numFmtId="2" fontId="17" fillId="2" borderId="1" xfId="0" applyNumberFormat="1" applyFont="1" applyFill="1" applyBorder="1" applyAlignment="1" applyProtection="1">
      <alignment wrapText="1"/>
    </xf>
    <xf numFmtId="4" fontId="17" fillId="2" borderId="1" xfId="0" applyNumberFormat="1" applyFont="1" applyFill="1" applyBorder="1" applyAlignment="1" applyProtection="1">
      <alignment wrapText="1"/>
    </xf>
    <xf numFmtId="4" fontId="17" fillId="2" borderId="15" xfId="0" applyNumberFormat="1" applyFont="1" applyFill="1" applyBorder="1" applyAlignment="1" applyProtection="1">
      <alignment wrapText="1"/>
    </xf>
    <xf numFmtId="0" fontId="18" fillId="0" borderId="0" xfId="0" applyFont="1"/>
    <xf numFmtId="164" fontId="17" fillId="2" borderId="14" xfId="0" applyNumberFormat="1" applyFont="1" applyFill="1" applyBorder="1" applyAlignment="1" applyProtection="1">
      <alignment wrapText="1"/>
    </xf>
    <xf numFmtId="4" fontId="14" fillId="0" borderId="0" xfId="0" applyNumberFormat="1" applyFont="1"/>
    <xf numFmtId="0" fontId="6" fillId="0" borderId="0" xfId="0" applyNumberFormat="1" applyFont="1" applyFill="1" applyAlignment="1" applyProtection="1">
      <alignment horizontal="left"/>
    </xf>
    <xf numFmtId="164" fontId="6" fillId="2" borderId="1" xfId="0" applyNumberFormat="1" applyFont="1" applyFill="1" applyBorder="1" applyAlignment="1">
      <alignment wrapText="1"/>
    </xf>
    <xf numFmtId="2" fontId="6" fillId="2" borderId="1" xfId="0" applyNumberFormat="1" applyFont="1" applyFill="1" applyBorder="1" applyAlignment="1">
      <alignment wrapText="1"/>
    </xf>
    <xf numFmtId="4" fontId="6" fillId="4" borderId="7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wrapText="1"/>
    </xf>
    <xf numFmtId="4" fontId="6" fillId="4" borderId="1" xfId="0" applyNumberFormat="1" applyFont="1" applyFill="1" applyBorder="1" applyAlignment="1">
      <alignment wrapText="1"/>
    </xf>
    <xf numFmtId="4" fontId="6" fillId="2" borderId="31" xfId="0" applyNumberFormat="1" applyFont="1" applyFill="1" applyBorder="1" applyAlignment="1">
      <alignment wrapText="1"/>
    </xf>
    <xf numFmtId="0" fontId="6" fillId="5" borderId="13" xfId="0" applyFont="1" applyFill="1" applyBorder="1" applyAlignment="1">
      <alignment vertical="center" wrapText="1"/>
    </xf>
    <xf numFmtId="0" fontId="7" fillId="5" borderId="14" xfId="0" applyFont="1" applyFill="1" applyBorder="1" applyAlignment="1">
      <alignment vertical="center" wrapText="1"/>
    </xf>
    <xf numFmtId="0" fontId="6" fillId="5" borderId="14" xfId="0" applyFont="1" applyFill="1" applyBorder="1" applyAlignment="1">
      <alignment vertical="center" wrapText="1"/>
    </xf>
    <xf numFmtId="4" fontId="7" fillId="5" borderId="14" xfId="0" applyNumberFormat="1" applyFont="1" applyFill="1" applyBorder="1" applyAlignment="1">
      <alignment vertical="center" wrapText="1"/>
    </xf>
    <xf numFmtId="2" fontId="6" fillId="5" borderId="27" xfId="0" applyNumberFormat="1" applyFont="1" applyFill="1" applyBorder="1" applyAlignment="1">
      <alignment vertical="center" wrapText="1"/>
    </xf>
    <xf numFmtId="3" fontId="6" fillId="2" borderId="6" xfId="0" applyNumberFormat="1" applyFont="1" applyFill="1" applyBorder="1" applyAlignment="1">
      <alignment horizontal="center" wrapText="1"/>
    </xf>
    <xf numFmtId="4" fontId="6" fillId="2" borderId="15" xfId="0" applyNumberFormat="1" applyFont="1" applyFill="1" applyBorder="1" applyAlignment="1">
      <alignment wrapText="1"/>
    </xf>
    <xf numFmtId="4" fontId="7" fillId="5" borderId="32" xfId="0" applyNumberFormat="1" applyFont="1" applyFill="1" applyBorder="1" applyAlignment="1">
      <alignment vertical="center" wrapText="1"/>
    </xf>
    <xf numFmtId="2" fontId="6" fillId="2" borderId="7" xfId="0" applyNumberFormat="1" applyFont="1" applyFill="1" applyBorder="1" applyAlignment="1">
      <alignment wrapText="1"/>
    </xf>
    <xf numFmtId="164" fontId="6" fillId="2" borderId="19" xfId="0" applyNumberFormat="1" applyFont="1" applyFill="1" applyBorder="1" applyAlignment="1">
      <alignment wrapText="1"/>
    </xf>
    <xf numFmtId="0" fontId="16" fillId="0" borderId="0" xfId="0" applyNumberFormat="1" applyFont="1" applyFill="1" applyAlignment="1" applyProtection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3" fillId="0" borderId="0" xfId="0" applyNumberFormat="1" applyFont="1" applyFill="1" applyAlignment="1" applyProtection="1">
      <alignment vertical="top" wrapText="1"/>
    </xf>
    <xf numFmtId="0" fontId="0" fillId="0" borderId="0" xfId="0" applyAlignment="1">
      <alignment vertical="top"/>
    </xf>
    <xf numFmtId="0" fontId="11" fillId="0" borderId="0" xfId="0" applyNumberFormat="1" applyFont="1" applyFill="1" applyAlignment="1" applyProtection="1"/>
    <xf numFmtId="0" fontId="0" fillId="0" borderId="0" xfId="0" applyAlignment="1"/>
  </cellXfs>
  <cellStyles count="14">
    <cellStyle name="Normálna 2" xfId="3"/>
    <cellStyle name="Normálne" xfId="0" builtinId="0"/>
    <cellStyle name="Normálne 2" xfId="1"/>
    <cellStyle name="Normálne 2 2" xfId="6"/>
    <cellStyle name="Normálne 2 2 2" xfId="12"/>
    <cellStyle name="Normálne 2 3" xfId="4"/>
    <cellStyle name="Normálne 2 4" xfId="8"/>
    <cellStyle name="Normálne 2 5" xfId="10"/>
    <cellStyle name="Normálne 3" xfId="2"/>
    <cellStyle name="Normálne 3 2" xfId="7"/>
    <cellStyle name="Normálne 3 2 2" xfId="13"/>
    <cellStyle name="Normálne 3 3" xfId="5"/>
    <cellStyle name="Normálne 3 4" xfId="9"/>
    <cellStyle name="Normálne 3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419101</xdr:colOff>
      <xdr:row>0</xdr:row>
      <xdr:rowOff>305329</xdr:rowOff>
    </xdr:from>
    <xdr:to>
      <xdr:col>8</xdr:col>
      <xdr:colOff>695324</xdr:colOff>
      <xdr:row>8</xdr:row>
      <xdr:rowOff>76200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26" y="305329"/>
          <a:ext cx="1495423" cy="1866371"/>
        </a:xfrm>
        <a:prstGeom prst="rect">
          <a:avLst/>
        </a:prstGeom>
      </xdr:spPr>
    </xdr:pic>
    <xdr:clientData/>
  </xdr:twoCellAnchor>
  <xdr:twoCellAnchor editAs="oneCell">
    <xdr:from>
      <xdr:col>8</xdr:col>
      <xdr:colOff>247650</xdr:colOff>
      <xdr:row>5</xdr:row>
      <xdr:rowOff>70880</xdr:rowOff>
    </xdr:from>
    <xdr:to>
      <xdr:col>8</xdr:col>
      <xdr:colOff>730134</xdr:colOff>
      <xdr:row>8</xdr:row>
      <xdr:rowOff>88162</xdr:rowOff>
    </xdr:to>
    <xdr:pic>
      <xdr:nvPicPr>
        <xdr:cNvPr id="2" name="Obrázok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613930"/>
          <a:ext cx="482484" cy="503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419101</xdr:colOff>
      <xdr:row>0</xdr:row>
      <xdr:rowOff>305329</xdr:rowOff>
    </xdr:from>
    <xdr:to>
      <xdr:col>8</xdr:col>
      <xdr:colOff>695324</xdr:colOff>
      <xdr:row>8</xdr:row>
      <xdr:rowOff>76200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xmlns="" id="{C846217B-8CA5-4DDC-A656-34AA7F16E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4676" y="305329"/>
          <a:ext cx="1495423" cy="1866371"/>
        </a:xfrm>
        <a:prstGeom prst="rect">
          <a:avLst/>
        </a:prstGeom>
      </xdr:spPr>
    </xdr:pic>
    <xdr:clientData/>
  </xdr:twoCellAnchor>
  <xdr:twoCellAnchor editAs="oneCell">
    <xdr:from>
      <xdr:col>8</xdr:col>
      <xdr:colOff>247650</xdr:colOff>
      <xdr:row>5</xdr:row>
      <xdr:rowOff>70880</xdr:rowOff>
    </xdr:from>
    <xdr:to>
      <xdr:col>8</xdr:col>
      <xdr:colOff>730134</xdr:colOff>
      <xdr:row>8</xdr:row>
      <xdr:rowOff>88162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xmlns="" id="{5D8127A6-93ED-4C2C-A7A7-DFF176E4D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1680605"/>
          <a:ext cx="482484" cy="503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zoomScaleNormal="100" workbookViewId="0">
      <selection activeCell="G14" sqref="G14:G42"/>
    </sheetView>
  </sheetViews>
  <sheetFormatPr defaultRowHeight="12.75" x14ac:dyDescent="0.2"/>
  <cols>
    <col min="1" max="1" width="10.28515625" style="32" customWidth="1"/>
    <col min="2" max="2" width="50.42578125" style="32" customWidth="1"/>
    <col min="3" max="3" width="9.140625" style="32"/>
    <col min="4" max="4" width="9.42578125" style="32" bestFit="1" customWidth="1"/>
    <col min="5" max="8" width="9.140625" style="32"/>
    <col min="9" max="9" width="11.28515625" style="32" bestFit="1" customWidth="1"/>
    <col min="10" max="12" width="9.140625" style="32"/>
    <col min="13" max="13" width="67.140625" style="32" customWidth="1"/>
    <col min="14" max="14" width="23.140625" style="32" customWidth="1"/>
    <col min="15" max="16384" width="9.140625" style="32"/>
  </cols>
  <sheetData>
    <row r="1" spans="1:13" s="13" customFormat="1" ht="52.5" customHeight="1" x14ac:dyDescent="0.2">
      <c r="A1" s="97" t="s">
        <v>78</v>
      </c>
      <c r="B1" s="98"/>
      <c r="C1" s="99"/>
      <c r="D1" s="99"/>
      <c r="E1" s="99"/>
      <c r="F1" s="100"/>
      <c r="G1" s="100"/>
      <c r="H1" s="100"/>
      <c r="I1" s="100"/>
    </row>
    <row r="2" spans="1:13" s="13" customFormat="1" ht="36" customHeight="1" x14ac:dyDescent="0.2">
      <c r="A2" s="38" t="s">
        <v>15</v>
      </c>
      <c r="B2" s="101" t="s">
        <v>77</v>
      </c>
      <c r="C2" s="102"/>
      <c r="D2" s="18"/>
      <c r="E2" s="18"/>
      <c r="F2" s="18"/>
      <c r="G2" s="18"/>
      <c r="H2" s="18"/>
      <c r="I2" s="18"/>
    </row>
    <row r="3" spans="1:13" s="13" customFormat="1" x14ac:dyDescent="0.2">
      <c r="A3" s="103" t="s">
        <v>9</v>
      </c>
      <c r="B3" s="104"/>
      <c r="C3" s="104"/>
      <c r="D3" s="18"/>
      <c r="E3" s="20"/>
      <c r="F3" s="18"/>
      <c r="G3" s="18"/>
      <c r="H3" s="18"/>
      <c r="I3" s="18"/>
    </row>
    <row r="4" spans="1:13" s="13" customFormat="1" x14ac:dyDescent="0.2">
      <c r="A4" s="19" t="s">
        <v>23</v>
      </c>
      <c r="B4" s="18" t="s">
        <v>24</v>
      </c>
      <c r="C4" s="18"/>
      <c r="D4" s="18"/>
      <c r="E4" s="20"/>
      <c r="F4" s="18"/>
      <c r="G4" s="18"/>
      <c r="H4" s="18"/>
      <c r="I4" s="18"/>
    </row>
    <row r="5" spans="1:13" s="13" customFormat="1" x14ac:dyDescent="0.2">
      <c r="A5" s="19" t="s">
        <v>25</v>
      </c>
      <c r="B5" s="18" t="s">
        <v>75</v>
      </c>
      <c r="C5" s="18"/>
      <c r="D5" s="18"/>
      <c r="E5" s="20"/>
      <c r="F5" s="18"/>
      <c r="G5" s="18"/>
      <c r="H5" s="18"/>
      <c r="I5" s="18"/>
    </row>
    <row r="6" spans="1:13" s="13" customFormat="1" x14ac:dyDescent="0.2">
      <c r="A6" s="19" t="s">
        <v>26</v>
      </c>
      <c r="B6" s="80" t="s">
        <v>76</v>
      </c>
      <c r="C6" s="18"/>
      <c r="D6" s="18"/>
      <c r="E6" s="20"/>
      <c r="F6" s="18"/>
      <c r="G6" s="18"/>
      <c r="H6" s="18"/>
      <c r="I6" s="18"/>
    </row>
    <row r="7" spans="1:13" s="13" customFormat="1" x14ac:dyDescent="0.2">
      <c r="A7" s="19"/>
      <c r="B7" s="22"/>
      <c r="C7" s="18"/>
      <c r="D7" s="18"/>
      <c r="E7" s="20"/>
      <c r="F7" s="18"/>
      <c r="G7" s="18"/>
      <c r="H7" s="18"/>
      <c r="I7" s="18"/>
    </row>
    <row r="8" spans="1:13" s="13" customFormat="1" x14ac:dyDescent="0.2">
      <c r="A8" s="19" t="s">
        <v>14</v>
      </c>
      <c r="B8" s="33">
        <v>43796</v>
      </c>
      <c r="C8" s="18"/>
      <c r="D8" s="18"/>
      <c r="E8" s="21"/>
      <c r="F8" s="18"/>
      <c r="G8" s="18"/>
      <c r="H8" s="18"/>
      <c r="I8" s="18"/>
    </row>
    <row r="9" spans="1:13" s="13" customFormat="1" x14ac:dyDescent="0.2">
      <c r="A9" s="19" t="s">
        <v>16</v>
      </c>
      <c r="B9" s="18"/>
      <c r="C9" s="18"/>
      <c r="D9" s="18"/>
      <c r="E9" s="21"/>
      <c r="F9" s="18"/>
      <c r="G9" s="32"/>
      <c r="H9" s="18"/>
      <c r="I9" s="18"/>
      <c r="M9" s="39"/>
    </row>
    <row r="10" spans="1:13" ht="13.5" thickBot="1" x14ac:dyDescent="0.25"/>
    <row r="11" spans="1:13" ht="22.5" x14ac:dyDescent="0.2">
      <c r="A11" s="15" t="s">
        <v>6</v>
      </c>
      <c r="B11" s="16" t="s">
        <v>11</v>
      </c>
      <c r="C11" s="16" t="s">
        <v>0</v>
      </c>
      <c r="D11" s="16" t="s">
        <v>2</v>
      </c>
      <c r="E11" s="16" t="s">
        <v>5</v>
      </c>
      <c r="F11" s="16" t="s">
        <v>1</v>
      </c>
      <c r="G11" s="16" t="s">
        <v>8</v>
      </c>
      <c r="H11" s="16" t="s">
        <v>3</v>
      </c>
      <c r="I11" s="52" t="s">
        <v>4</v>
      </c>
      <c r="J11" s="58" t="s">
        <v>31</v>
      </c>
    </row>
    <row r="12" spans="1:13" ht="13.5" thickBot="1" x14ac:dyDescent="0.25">
      <c r="A12" s="17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4">
        <v>8</v>
      </c>
      <c r="I12" s="53">
        <v>9</v>
      </c>
      <c r="J12" s="59">
        <v>10</v>
      </c>
    </row>
    <row r="13" spans="1:13" ht="13.5" thickTop="1" x14ac:dyDescent="0.2">
      <c r="A13" s="87"/>
      <c r="B13" s="88" t="s">
        <v>96</v>
      </c>
      <c r="C13" s="89"/>
      <c r="D13" s="89"/>
      <c r="E13" s="90"/>
      <c r="F13" s="88"/>
      <c r="G13" s="90"/>
      <c r="H13" s="89"/>
      <c r="I13" s="89"/>
      <c r="J13" s="91"/>
    </row>
    <row r="14" spans="1:13" x14ac:dyDescent="0.2">
      <c r="A14" s="92">
        <v>1</v>
      </c>
      <c r="B14" s="81" t="s">
        <v>97</v>
      </c>
      <c r="C14" s="81" t="s">
        <v>7</v>
      </c>
      <c r="D14" s="82">
        <v>7</v>
      </c>
      <c r="E14" s="85"/>
      <c r="F14" s="84">
        <f t="shared" ref="F14:F15" si="0">E14*D14</f>
        <v>0</v>
      </c>
      <c r="G14" s="85"/>
      <c r="H14" s="84">
        <f t="shared" ref="H14:H15" si="1">G14*D14</f>
        <v>0</v>
      </c>
      <c r="I14" s="93">
        <f t="shared" ref="I14:I15" si="2">H14+F14</f>
        <v>0</v>
      </c>
      <c r="J14" s="91">
        <f>D14*0.2</f>
        <v>1.4000000000000001</v>
      </c>
    </row>
    <row r="15" spans="1:13" x14ac:dyDescent="0.2">
      <c r="A15" s="92">
        <v>2</v>
      </c>
      <c r="B15" s="81" t="s">
        <v>98</v>
      </c>
      <c r="C15" s="81" t="s">
        <v>35</v>
      </c>
      <c r="D15" s="82">
        <f>SUM(J14:J14)</f>
        <v>1.4000000000000001</v>
      </c>
      <c r="E15" s="85"/>
      <c r="F15" s="84">
        <f t="shared" si="0"/>
        <v>0</v>
      </c>
      <c r="G15" s="85"/>
      <c r="H15" s="84">
        <f t="shared" si="1"/>
        <v>0</v>
      </c>
      <c r="I15" s="93">
        <f t="shared" si="2"/>
        <v>0</v>
      </c>
      <c r="J15" s="91"/>
    </row>
    <row r="16" spans="1:13" x14ac:dyDescent="0.2">
      <c r="A16" s="29"/>
      <c r="B16" s="30" t="s">
        <v>27</v>
      </c>
      <c r="C16" s="31"/>
      <c r="D16" s="31"/>
      <c r="E16" s="64"/>
      <c r="F16" s="30"/>
      <c r="G16" s="64"/>
      <c r="H16" s="31"/>
      <c r="I16" s="31"/>
      <c r="J16" s="60"/>
    </row>
    <row r="17" spans="1:10" x14ac:dyDescent="0.2">
      <c r="A17" s="43">
        <v>3</v>
      </c>
      <c r="B17" s="47" t="s">
        <v>84</v>
      </c>
      <c r="C17" s="47" t="s">
        <v>7</v>
      </c>
      <c r="D17" s="28">
        <v>10</v>
      </c>
      <c r="E17" s="44"/>
      <c r="F17" s="45">
        <f t="shared" ref="F17:F35" si="3">E17*D17</f>
        <v>0</v>
      </c>
      <c r="G17" s="44"/>
      <c r="H17" s="45">
        <f t="shared" ref="H17:H35" si="4">G17*D17</f>
        <v>0</v>
      </c>
      <c r="I17" s="54">
        <f t="shared" ref="I17:I35" si="5">H17+F17</f>
        <v>0</v>
      </c>
      <c r="J17" s="60">
        <f t="shared" ref="J17:J18" si="6">0.05*D17</f>
        <v>0.5</v>
      </c>
    </row>
    <row r="18" spans="1:10" x14ac:dyDescent="0.2">
      <c r="A18" s="43">
        <v>4</v>
      </c>
      <c r="B18" s="47" t="s">
        <v>85</v>
      </c>
      <c r="C18" s="47" t="s">
        <v>7</v>
      </c>
      <c r="D18" s="28">
        <v>16</v>
      </c>
      <c r="E18" s="44"/>
      <c r="F18" s="45">
        <f t="shared" si="3"/>
        <v>0</v>
      </c>
      <c r="G18" s="44"/>
      <c r="H18" s="45">
        <f t="shared" si="4"/>
        <v>0</v>
      </c>
      <c r="I18" s="54">
        <f t="shared" si="5"/>
        <v>0</v>
      </c>
      <c r="J18" s="60">
        <f t="shared" si="6"/>
        <v>0.8</v>
      </c>
    </row>
    <row r="19" spans="1:10" ht="22.5" x14ac:dyDescent="0.2">
      <c r="A19" s="43">
        <v>5</v>
      </c>
      <c r="B19" s="81" t="s">
        <v>95</v>
      </c>
      <c r="C19" s="81" t="s">
        <v>22</v>
      </c>
      <c r="D19" s="82">
        <f>(D17+D18)*0.1</f>
        <v>2.6</v>
      </c>
      <c r="E19" s="83"/>
      <c r="F19" s="84">
        <f t="shared" si="3"/>
        <v>0</v>
      </c>
      <c r="G19" s="85"/>
      <c r="H19" s="84">
        <f t="shared" si="4"/>
        <v>0</v>
      </c>
      <c r="I19" s="86">
        <f t="shared" si="5"/>
        <v>0</v>
      </c>
      <c r="J19" s="60"/>
    </row>
    <row r="20" spans="1:10" ht="22.5" x14ac:dyDescent="0.2">
      <c r="A20" s="43">
        <v>6</v>
      </c>
      <c r="B20" s="81" t="s">
        <v>86</v>
      </c>
      <c r="C20" s="81" t="s">
        <v>35</v>
      </c>
      <c r="D20" s="82">
        <f>D19*1.2</f>
        <v>3.12</v>
      </c>
      <c r="E20" s="83"/>
      <c r="F20" s="84">
        <f t="shared" si="3"/>
        <v>0</v>
      </c>
      <c r="G20" s="85"/>
      <c r="H20" s="84">
        <f t="shared" si="4"/>
        <v>0</v>
      </c>
      <c r="I20" s="86">
        <f t="shared" si="5"/>
        <v>0</v>
      </c>
      <c r="J20" s="60">
        <f>D20</f>
        <v>3.12</v>
      </c>
    </row>
    <row r="21" spans="1:10" x14ac:dyDescent="0.2">
      <c r="A21" s="43">
        <v>7</v>
      </c>
      <c r="B21" s="81" t="s">
        <v>87</v>
      </c>
      <c r="C21" s="81" t="s">
        <v>32</v>
      </c>
      <c r="D21" s="82">
        <f>(D17+D18)*10</f>
        <v>260</v>
      </c>
      <c r="E21" s="83"/>
      <c r="F21" s="84">
        <f t="shared" si="3"/>
        <v>0</v>
      </c>
      <c r="G21" s="85"/>
      <c r="H21" s="84">
        <f t="shared" si="4"/>
        <v>0</v>
      </c>
      <c r="I21" s="86">
        <f t="shared" si="5"/>
        <v>0</v>
      </c>
      <c r="J21" s="60"/>
    </row>
    <row r="22" spans="1:10" ht="22.5" x14ac:dyDescent="0.2">
      <c r="A22" s="43">
        <v>8</v>
      </c>
      <c r="B22" s="81" t="s">
        <v>89</v>
      </c>
      <c r="C22" s="81" t="s">
        <v>32</v>
      </c>
      <c r="D22" s="82">
        <f>(D17+D18)*0.2</f>
        <v>5.2</v>
      </c>
      <c r="E22" s="83"/>
      <c r="F22" s="84">
        <f t="shared" si="3"/>
        <v>0</v>
      </c>
      <c r="G22" s="85"/>
      <c r="H22" s="84">
        <f t="shared" si="4"/>
        <v>0</v>
      </c>
      <c r="I22" s="86">
        <f t="shared" si="5"/>
        <v>0</v>
      </c>
      <c r="J22" s="60"/>
    </row>
    <row r="23" spans="1:10" ht="33.75" x14ac:dyDescent="0.2">
      <c r="A23" s="43">
        <v>9</v>
      </c>
      <c r="B23" s="81" t="s">
        <v>91</v>
      </c>
      <c r="C23" s="81" t="s">
        <v>7</v>
      </c>
      <c r="D23" s="82">
        <f>D17+D18</f>
        <v>26</v>
      </c>
      <c r="E23" s="83"/>
      <c r="F23" s="84">
        <f t="shared" si="3"/>
        <v>0</v>
      </c>
      <c r="G23" s="85"/>
      <c r="H23" s="84">
        <f t="shared" si="4"/>
        <v>0</v>
      </c>
      <c r="I23" s="86">
        <f t="shared" si="5"/>
        <v>0</v>
      </c>
      <c r="J23" s="60"/>
    </row>
    <row r="24" spans="1:10" ht="33.75" x14ac:dyDescent="0.2">
      <c r="A24" s="43">
        <v>10</v>
      </c>
      <c r="B24" s="81" t="s">
        <v>92</v>
      </c>
      <c r="C24" s="81" t="s">
        <v>32</v>
      </c>
      <c r="D24" s="82">
        <f>D23*0.05</f>
        <v>1.3</v>
      </c>
      <c r="E24" s="85"/>
      <c r="F24" s="84">
        <f t="shared" si="3"/>
        <v>0</v>
      </c>
      <c r="G24" s="85"/>
      <c r="H24" s="84">
        <f t="shared" si="4"/>
        <v>0</v>
      </c>
      <c r="I24" s="86">
        <f t="shared" si="5"/>
        <v>0</v>
      </c>
      <c r="J24" s="60"/>
    </row>
    <row r="25" spans="1:10" x14ac:dyDescent="0.2">
      <c r="A25" s="43">
        <v>11</v>
      </c>
      <c r="B25" s="47" t="s">
        <v>82</v>
      </c>
      <c r="C25" s="41" t="s">
        <v>22</v>
      </c>
      <c r="D25" s="46">
        <f>(SUM(D17:D18)*0.02*2)+(SUM(D17:D18)*0.01*10)</f>
        <v>3.64</v>
      </c>
      <c r="E25" s="42"/>
      <c r="F25" s="45">
        <f t="shared" si="3"/>
        <v>0</v>
      </c>
      <c r="G25" s="44"/>
      <c r="H25" s="45">
        <f t="shared" si="4"/>
        <v>0</v>
      </c>
      <c r="I25" s="54">
        <f t="shared" si="5"/>
        <v>0</v>
      </c>
      <c r="J25" s="60">
        <f>D25</f>
        <v>3.64</v>
      </c>
    </row>
    <row r="26" spans="1:10" x14ac:dyDescent="0.2">
      <c r="A26" s="29"/>
      <c r="B26" s="65" t="s">
        <v>80</v>
      </c>
      <c r="C26" s="31"/>
      <c r="D26" s="31"/>
      <c r="E26" s="64"/>
      <c r="F26" s="30"/>
      <c r="G26" s="64"/>
      <c r="H26" s="31"/>
      <c r="I26" s="31"/>
      <c r="J26" s="60"/>
    </row>
    <row r="27" spans="1:10" x14ac:dyDescent="0.2">
      <c r="A27" s="43">
        <v>12</v>
      </c>
      <c r="B27" s="47" t="s">
        <v>79</v>
      </c>
      <c r="C27" s="47" t="s">
        <v>7</v>
      </c>
      <c r="D27" s="28">
        <v>60</v>
      </c>
      <c r="E27" s="42"/>
      <c r="F27" s="45">
        <f t="shared" si="3"/>
        <v>0</v>
      </c>
      <c r="G27" s="44"/>
      <c r="H27" s="45">
        <f t="shared" si="4"/>
        <v>0</v>
      </c>
      <c r="I27" s="54">
        <f t="shared" si="5"/>
        <v>0</v>
      </c>
      <c r="J27" s="60">
        <f>D27*2/1000</f>
        <v>0.12</v>
      </c>
    </row>
    <row r="28" spans="1:10" x14ac:dyDescent="0.2">
      <c r="A28" s="43">
        <v>13</v>
      </c>
      <c r="B28" s="47" t="s">
        <v>81</v>
      </c>
      <c r="C28" s="47" t="s">
        <v>7</v>
      </c>
      <c r="D28" s="28">
        <v>310</v>
      </c>
      <c r="E28" s="42"/>
      <c r="F28" s="45">
        <f t="shared" si="3"/>
        <v>0</v>
      </c>
      <c r="G28" s="44"/>
      <c r="H28" s="45">
        <f t="shared" si="4"/>
        <v>0</v>
      </c>
      <c r="I28" s="54">
        <f t="shared" si="5"/>
        <v>0</v>
      </c>
      <c r="J28" s="60">
        <f t="shared" ref="J28" si="7">D28*2/1000</f>
        <v>0.62</v>
      </c>
    </row>
    <row r="29" spans="1:10" x14ac:dyDescent="0.2">
      <c r="A29" s="43">
        <v>14</v>
      </c>
      <c r="B29" s="47" t="s">
        <v>36</v>
      </c>
      <c r="C29" s="47" t="s">
        <v>13</v>
      </c>
      <c r="D29" s="46">
        <v>290</v>
      </c>
      <c r="E29" s="42"/>
      <c r="F29" s="45">
        <f>E29*D29</f>
        <v>0</v>
      </c>
      <c r="G29" s="44"/>
      <c r="H29" s="45">
        <f>G29*D29</f>
        <v>0</v>
      </c>
      <c r="I29" s="54">
        <f t="shared" si="5"/>
        <v>0</v>
      </c>
      <c r="J29" s="60"/>
    </row>
    <row r="30" spans="1:10" ht="22.5" x14ac:dyDescent="0.2">
      <c r="A30" s="43">
        <v>15</v>
      </c>
      <c r="B30" s="81" t="s">
        <v>94</v>
      </c>
      <c r="C30" s="81" t="s">
        <v>22</v>
      </c>
      <c r="D30" s="82">
        <f>(D27+D28)*0.005</f>
        <v>1.85</v>
      </c>
      <c r="E30" s="83"/>
      <c r="F30" s="84">
        <f t="shared" ref="F30:F34" si="8">E30*D30</f>
        <v>0</v>
      </c>
      <c r="G30" s="85"/>
      <c r="H30" s="84">
        <f t="shared" ref="H30:H34" si="9">G30*D30</f>
        <v>0</v>
      </c>
      <c r="I30" s="86">
        <f t="shared" ref="I30:I34" si="10">H30+F30</f>
        <v>0</v>
      </c>
      <c r="J30" s="60"/>
    </row>
    <row r="31" spans="1:10" ht="22.5" x14ac:dyDescent="0.2">
      <c r="A31" s="43">
        <v>16</v>
      </c>
      <c r="B31" s="81" t="s">
        <v>86</v>
      </c>
      <c r="C31" s="81" t="s">
        <v>35</v>
      </c>
      <c r="D31" s="82">
        <f>D30*1.2</f>
        <v>2.2200000000000002</v>
      </c>
      <c r="E31" s="83"/>
      <c r="F31" s="84">
        <f t="shared" si="8"/>
        <v>0</v>
      </c>
      <c r="G31" s="85"/>
      <c r="H31" s="84">
        <f t="shared" si="9"/>
        <v>0</v>
      </c>
      <c r="I31" s="86">
        <f t="shared" si="10"/>
        <v>0</v>
      </c>
      <c r="J31" s="60">
        <f>D31</f>
        <v>2.2200000000000002</v>
      </c>
    </row>
    <row r="32" spans="1:10" x14ac:dyDescent="0.2">
      <c r="A32" s="43">
        <v>17</v>
      </c>
      <c r="B32" s="81" t="s">
        <v>88</v>
      </c>
      <c r="C32" s="81" t="s">
        <v>32</v>
      </c>
      <c r="D32" s="82">
        <f>(D27+D28)*0.01</f>
        <v>3.7</v>
      </c>
      <c r="E32" s="83"/>
      <c r="F32" s="84">
        <f t="shared" si="8"/>
        <v>0</v>
      </c>
      <c r="G32" s="85"/>
      <c r="H32" s="84">
        <f t="shared" si="9"/>
        <v>0</v>
      </c>
      <c r="I32" s="86">
        <f t="shared" si="10"/>
        <v>0</v>
      </c>
      <c r="J32" s="60"/>
    </row>
    <row r="33" spans="1:10" ht="22.5" x14ac:dyDescent="0.2">
      <c r="A33" s="43">
        <v>18</v>
      </c>
      <c r="B33" s="81" t="s">
        <v>90</v>
      </c>
      <c r="C33" s="81" t="s">
        <v>32</v>
      </c>
      <c r="D33" s="82">
        <f>(D28+D27)*0.05</f>
        <v>18.5</v>
      </c>
      <c r="E33" s="83"/>
      <c r="F33" s="84">
        <f t="shared" si="8"/>
        <v>0</v>
      </c>
      <c r="G33" s="85"/>
      <c r="H33" s="84">
        <f t="shared" si="9"/>
        <v>0</v>
      </c>
      <c r="I33" s="86">
        <f t="shared" si="10"/>
        <v>0</v>
      </c>
      <c r="J33" s="60"/>
    </row>
    <row r="34" spans="1:10" ht="33.75" x14ac:dyDescent="0.2">
      <c r="A34" s="43">
        <v>19</v>
      </c>
      <c r="B34" s="81" t="s">
        <v>93</v>
      </c>
      <c r="C34" s="81" t="s">
        <v>32</v>
      </c>
      <c r="D34" s="82">
        <f>(D28+D27)*0.01</f>
        <v>3.7</v>
      </c>
      <c r="E34" s="85"/>
      <c r="F34" s="84">
        <f t="shared" si="8"/>
        <v>0</v>
      </c>
      <c r="G34" s="85"/>
      <c r="H34" s="84">
        <f t="shared" si="9"/>
        <v>0</v>
      </c>
      <c r="I34" s="86">
        <f t="shared" si="10"/>
        <v>0</v>
      </c>
      <c r="J34" s="60"/>
    </row>
    <row r="35" spans="1:10" ht="22.5" x14ac:dyDescent="0.2">
      <c r="A35" s="43">
        <v>20</v>
      </c>
      <c r="B35" s="47" t="s">
        <v>19</v>
      </c>
      <c r="C35" s="47" t="s">
        <v>13</v>
      </c>
      <c r="D35" s="28">
        <v>290</v>
      </c>
      <c r="E35" s="44"/>
      <c r="F35" s="45">
        <f t="shared" si="3"/>
        <v>0</v>
      </c>
      <c r="G35" s="44"/>
      <c r="H35" s="45">
        <f t="shared" si="4"/>
        <v>0</v>
      </c>
      <c r="I35" s="54">
        <f t="shared" si="5"/>
        <v>0</v>
      </c>
      <c r="J35" s="60"/>
    </row>
    <row r="36" spans="1:10" x14ac:dyDescent="0.2">
      <c r="A36" s="43">
        <v>21</v>
      </c>
      <c r="B36" s="47" t="s">
        <v>83</v>
      </c>
      <c r="C36" s="47" t="s">
        <v>22</v>
      </c>
      <c r="D36" s="46">
        <f>(SUM(D28:D29)*0.02*2)+(SUM(D28:D29)*0.01*10)</f>
        <v>84</v>
      </c>
      <c r="E36" s="44"/>
      <c r="F36" s="45">
        <f t="shared" ref="F36" si="11">E36*D36</f>
        <v>0</v>
      </c>
      <c r="G36" s="44"/>
      <c r="H36" s="45">
        <f t="shared" ref="H36" si="12">G36*D36</f>
        <v>0</v>
      </c>
      <c r="I36" s="45">
        <f t="shared" ref="I36" si="13">H36+F36</f>
        <v>0</v>
      </c>
      <c r="J36" s="60">
        <f>D36</f>
        <v>84</v>
      </c>
    </row>
    <row r="37" spans="1:10" x14ac:dyDescent="0.2">
      <c r="A37" s="87"/>
      <c r="B37" s="88" t="s">
        <v>99</v>
      </c>
      <c r="C37" s="89"/>
      <c r="D37" s="89"/>
      <c r="E37" s="90"/>
      <c r="F37" s="90"/>
      <c r="G37" s="90"/>
      <c r="H37" s="90"/>
      <c r="I37" s="94"/>
      <c r="J37" s="61"/>
    </row>
    <row r="38" spans="1:10" ht="22.5" x14ac:dyDescent="0.2">
      <c r="A38" s="92">
        <v>22</v>
      </c>
      <c r="B38" s="81" t="s">
        <v>100</v>
      </c>
      <c r="C38" s="81" t="s">
        <v>22</v>
      </c>
      <c r="D38" s="95">
        <f>D41*0.3</f>
        <v>26.086499999999997</v>
      </c>
      <c r="E38" s="85"/>
      <c r="F38" s="84">
        <f t="shared" ref="F38:F42" si="14">E38*D38</f>
        <v>0</v>
      </c>
      <c r="G38" s="85"/>
      <c r="H38" s="84">
        <f t="shared" ref="H38:H42" si="15">G38*D38</f>
        <v>0</v>
      </c>
      <c r="I38" s="86">
        <f t="shared" ref="I38:I42" si="16">H38+F38</f>
        <v>0</v>
      </c>
      <c r="J38" s="61"/>
    </row>
    <row r="39" spans="1:10" ht="22.5" x14ac:dyDescent="0.2">
      <c r="A39" s="92">
        <v>23</v>
      </c>
      <c r="B39" s="81" t="s">
        <v>101</v>
      </c>
      <c r="C39" s="81" t="s">
        <v>32</v>
      </c>
      <c r="D39" s="95">
        <f>D41*0.15</f>
        <v>13.043249999999999</v>
      </c>
      <c r="E39" s="85"/>
      <c r="F39" s="84">
        <f t="shared" si="14"/>
        <v>0</v>
      </c>
      <c r="G39" s="85"/>
      <c r="H39" s="84">
        <f t="shared" si="15"/>
        <v>0</v>
      </c>
      <c r="I39" s="86">
        <f t="shared" si="16"/>
        <v>0</v>
      </c>
      <c r="J39" s="61"/>
    </row>
    <row r="40" spans="1:10" x14ac:dyDescent="0.2">
      <c r="A40" s="92">
        <v>24</v>
      </c>
      <c r="B40" s="81" t="s">
        <v>102</v>
      </c>
      <c r="C40" s="81" t="s">
        <v>32</v>
      </c>
      <c r="D40" s="95">
        <f>D41*0.04</f>
        <v>3.4782000000000002</v>
      </c>
      <c r="E40" s="85"/>
      <c r="F40" s="84">
        <f t="shared" si="14"/>
        <v>0</v>
      </c>
      <c r="G40" s="85"/>
      <c r="H40" s="84">
        <f t="shared" si="15"/>
        <v>0</v>
      </c>
      <c r="I40" s="86">
        <f t="shared" si="16"/>
        <v>0</v>
      </c>
      <c r="J40" s="61"/>
    </row>
    <row r="41" spans="1:10" ht="45" x14ac:dyDescent="0.2">
      <c r="A41" s="92">
        <v>25</v>
      </c>
      <c r="B41" s="96" t="s">
        <v>103</v>
      </c>
      <c r="C41" s="96" t="s">
        <v>13</v>
      </c>
      <c r="D41" s="95">
        <v>86.954999999999998</v>
      </c>
      <c r="E41" s="85"/>
      <c r="F41" s="84">
        <f t="shared" si="14"/>
        <v>0</v>
      </c>
      <c r="G41" s="85"/>
      <c r="H41" s="84">
        <f t="shared" si="15"/>
        <v>0</v>
      </c>
      <c r="I41" s="86">
        <f t="shared" si="16"/>
        <v>0</v>
      </c>
      <c r="J41" s="61"/>
    </row>
    <row r="42" spans="1:10" ht="23.25" thickBot="1" x14ac:dyDescent="0.25">
      <c r="A42" s="92">
        <v>26</v>
      </c>
      <c r="B42" s="81" t="s">
        <v>104</v>
      </c>
      <c r="C42" s="81" t="s">
        <v>22</v>
      </c>
      <c r="D42" s="95">
        <f>D38*0.002*14</f>
        <v>0.7304219999999999</v>
      </c>
      <c r="E42" s="85"/>
      <c r="F42" s="84">
        <f t="shared" si="14"/>
        <v>0</v>
      </c>
      <c r="G42" s="85"/>
      <c r="H42" s="84">
        <f t="shared" si="15"/>
        <v>0</v>
      </c>
      <c r="I42" s="86">
        <f t="shared" si="16"/>
        <v>0</v>
      </c>
      <c r="J42" s="61"/>
    </row>
    <row r="43" spans="1:10" ht="13.5" thickBot="1" x14ac:dyDescent="0.25">
      <c r="A43" s="2"/>
      <c r="B43" s="3" t="s">
        <v>10</v>
      </c>
      <c r="C43" s="4"/>
      <c r="D43" s="7"/>
      <c r="E43" s="5"/>
      <c r="F43" s="57">
        <f t="shared" ref="F43:H43" si="17">SUM(F14:F42)</f>
        <v>0</v>
      </c>
      <c r="G43" s="57"/>
      <c r="H43" s="57">
        <f t="shared" si="17"/>
        <v>0</v>
      </c>
      <c r="I43" s="57">
        <f>SUM(I14:I42)</f>
        <v>0</v>
      </c>
      <c r="J43" s="63"/>
    </row>
    <row r="45" spans="1:10" x14ac:dyDescent="0.2">
      <c r="A45" s="34"/>
      <c r="B45" s="10" t="s">
        <v>20</v>
      </c>
      <c r="C45" s="35"/>
      <c r="D45" s="35"/>
      <c r="E45" s="36"/>
      <c r="F45" s="11">
        <f>F43*0.2</f>
        <v>0</v>
      </c>
      <c r="G45" s="11"/>
      <c r="H45" s="11">
        <f>H43*0.2</f>
        <v>0</v>
      </c>
      <c r="I45" s="11">
        <f>I43*0.2</f>
        <v>0</v>
      </c>
    </row>
    <row r="46" spans="1:10" x14ac:dyDescent="0.2">
      <c r="A46" s="34"/>
      <c r="B46" s="8" t="s">
        <v>12</v>
      </c>
      <c r="C46" s="35"/>
      <c r="D46" s="35"/>
      <c r="E46" s="35"/>
      <c r="F46" s="9"/>
      <c r="G46" s="9"/>
      <c r="H46" s="9"/>
      <c r="I46" s="12">
        <f>SUM(I43:I45)</f>
        <v>0</v>
      </c>
    </row>
    <row r="51" spans="1:5" s="23" customFormat="1" ht="10.5" customHeight="1" x14ac:dyDescent="0.2"/>
    <row r="52" spans="1:5" s="23" customFormat="1" x14ac:dyDescent="0.2"/>
    <row r="53" spans="1:5" s="23" customFormat="1" x14ac:dyDescent="0.2"/>
    <row r="54" spans="1:5" s="23" customFormat="1" x14ac:dyDescent="0.2"/>
    <row r="55" spans="1:5" s="23" customFormat="1" x14ac:dyDescent="0.2"/>
    <row r="56" spans="1:5" s="23" customFormat="1" x14ac:dyDescent="0.2"/>
    <row r="57" spans="1:5" s="23" customFormat="1" x14ac:dyDescent="0.2">
      <c r="A57" s="25"/>
      <c r="B57" s="26"/>
      <c r="C57" s="25"/>
      <c r="D57" s="25"/>
      <c r="E57" s="25"/>
    </row>
    <row r="58" spans="1:5" s="23" customFormat="1" x14ac:dyDescent="0.2">
      <c r="A58" s="25"/>
      <c r="B58" s="26"/>
      <c r="C58" s="25"/>
      <c r="D58" s="25"/>
      <c r="E58" s="25"/>
    </row>
    <row r="59" spans="1:5" s="23" customFormat="1" x14ac:dyDescent="0.2">
      <c r="A59" s="25"/>
      <c r="B59" s="26"/>
      <c r="C59" s="25"/>
      <c r="D59" s="25"/>
      <c r="E59" s="25"/>
    </row>
    <row r="60" spans="1:5" s="23" customFormat="1" x14ac:dyDescent="0.2">
      <c r="A60" s="25"/>
      <c r="B60" s="26"/>
      <c r="C60" s="25"/>
      <c r="D60" s="25"/>
      <c r="E60" s="25"/>
    </row>
    <row r="61" spans="1:5" s="23" customFormat="1" x14ac:dyDescent="0.2">
      <c r="A61" s="25"/>
      <c r="B61" s="26"/>
      <c r="C61" s="25"/>
      <c r="D61" s="25"/>
      <c r="E61" s="25"/>
    </row>
    <row r="62" spans="1:5" s="23" customFormat="1" x14ac:dyDescent="0.2">
      <c r="A62" s="25"/>
      <c r="B62" s="26"/>
      <c r="C62" s="25"/>
      <c r="D62" s="25"/>
      <c r="E62" s="25"/>
    </row>
    <row r="63" spans="1:5" s="23" customFormat="1" x14ac:dyDescent="0.2">
      <c r="A63" s="25"/>
      <c r="B63" s="26"/>
      <c r="C63" s="25"/>
      <c r="D63" s="25"/>
      <c r="E63" s="25"/>
    </row>
    <row r="64" spans="1:5" s="23" customFormat="1" x14ac:dyDescent="0.2">
      <c r="A64" s="25"/>
      <c r="B64" s="26"/>
      <c r="C64" s="25"/>
      <c r="D64" s="25"/>
      <c r="E64" s="25"/>
    </row>
    <row r="65" spans="1:5" s="23" customFormat="1" x14ac:dyDescent="0.2">
      <c r="A65" s="25"/>
      <c r="B65" s="26"/>
      <c r="C65" s="25"/>
      <c r="D65" s="25"/>
      <c r="E65" s="25"/>
    </row>
    <row r="66" spans="1:5" s="23" customFormat="1" x14ac:dyDescent="0.2">
      <c r="A66" s="25"/>
      <c r="B66" s="26"/>
      <c r="C66" s="25"/>
      <c r="D66" s="25"/>
      <c r="E66" s="25"/>
    </row>
    <row r="67" spans="1:5" s="23" customFormat="1" x14ac:dyDescent="0.2">
      <c r="A67" s="25"/>
      <c r="B67" s="26"/>
      <c r="C67" s="25"/>
      <c r="D67" s="25"/>
      <c r="E67" s="25"/>
    </row>
    <row r="68" spans="1:5" s="23" customFormat="1" x14ac:dyDescent="0.2">
      <c r="A68" s="25"/>
      <c r="B68" s="26"/>
      <c r="C68" s="25"/>
      <c r="D68" s="25"/>
      <c r="E68" s="25"/>
    </row>
    <row r="69" spans="1:5" s="23" customFormat="1" x14ac:dyDescent="0.2">
      <c r="A69" s="25"/>
      <c r="B69" s="26"/>
      <c r="C69" s="25"/>
      <c r="D69" s="25"/>
      <c r="E69" s="25"/>
    </row>
    <row r="70" spans="1:5" s="23" customFormat="1" x14ac:dyDescent="0.2">
      <c r="A70" s="25"/>
      <c r="B70" s="26"/>
      <c r="C70" s="25"/>
      <c r="D70" s="25"/>
      <c r="E70" s="25"/>
    </row>
    <row r="71" spans="1:5" s="23" customFormat="1" x14ac:dyDescent="0.2">
      <c r="A71" s="25"/>
      <c r="B71" s="26"/>
      <c r="C71" s="25"/>
      <c r="D71" s="25"/>
      <c r="E71" s="25"/>
    </row>
    <row r="105" spans="2:5" x14ac:dyDescent="0.2">
      <c r="B105" s="37"/>
      <c r="C105" s="37"/>
      <c r="D105" s="37"/>
      <c r="E105" s="37"/>
    </row>
    <row r="106" spans="2:5" x14ac:dyDescent="0.2">
      <c r="B106" s="37"/>
      <c r="C106" s="24"/>
      <c r="D106" s="24"/>
      <c r="E106" s="37"/>
    </row>
    <row r="107" spans="2:5" x14ac:dyDescent="0.2">
      <c r="B107" s="37"/>
      <c r="C107" s="37"/>
      <c r="D107" s="37"/>
      <c r="E107" s="37"/>
    </row>
    <row r="116" ht="17.25" customHeight="1" x14ac:dyDescent="0.2"/>
  </sheetData>
  <mergeCells count="3">
    <mergeCell ref="A1:I1"/>
    <mergeCell ref="B2:C2"/>
    <mergeCell ref="A3:C3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opLeftCell="A10" zoomScaleNormal="100" workbookViewId="0">
      <selection activeCell="B7" sqref="B7"/>
    </sheetView>
  </sheetViews>
  <sheetFormatPr defaultRowHeight="12.75" x14ac:dyDescent="0.2"/>
  <cols>
    <col min="1" max="1" width="10.28515625" style="32" customWidth="1"/>
    <col min="2" max="2" width="50.42578125" style="32" customWidth="1"/>
    <col min="3" max="3" width="9.140625" style="32"/>
    <col min="4" max="4" width="9.42578125" style="32" bestFit="1" customWidth="1"/>
    <col min="5" max="8" width="9.140625" style="32"/>
    <col min="9" max="9" width="11.28515625" style="32" bestFit="1" customWidth="1"/>
    <col min="10" max="12" width="9.140625" style="32"/>
    <col min="13" max="13" width="67.140625" style="32" customWidth="1"/>
    <col min="14" max="14" width="23.140625" style="32" customWidth="1"/>
    <col min="15" max="16384" width="9.140625" style="32"/>
  </cols>
  <sheetData>
    <row r="1" spans="1:13" s="13" customFormat="1" ht="52.5" customHeight="1" x14ac:dyDescent="0.2">
      <c r="A1" s="97" t="s">
        <v>38</v>
      </c>
      <c r="B1" s="98"/>
      <c r="C1" s="99"/>
      <c r="D1" s="99"/>
      <c r="E1" s="99"/>
      <c r="F1" s="100"/>
      <c r="G1" s="100"/>
      <c r="H1" s="100"/>
      <c r="I1" s="100"/>
    </row>
    <row r="2" spans="1:13" s="13" customFormat="1" ht="36" customHeight="1" x14ac:dyDescent="0.2">
      <c r="A2" s="38" t="s">
        <v>15</v>
      </c>
      <c r="B2" s="101" t="s">
        <v>39</v>
      </c>
      <c r="C2" s="102"/>
      <c r="D2" s="18"/>
      <c r="E2" s="18"/>
      <c r="F2" s="18"/>
      <c r="G2" s="18"/>
      <c r="H2" s="18"/>
      <c r="I2" s="18"/>
    </row>
    <row r="3" spans="1:13" s="13" customFormat="1" x14ac:dyDescent="0.2">
      <c r="A3" s="103" t="s">
        <v>9</v>
      </c>
      <c r="B3" s="104"/>
      <c r="C3" s="104"/>
      <c r="D3" s="18"/>
      <c r="E3" s="20"/>
      <c r="F3" s="18"/>
      <c r="G3" s="18"/>
      <c r="H3" s="18"/>
      <c r="I3" s="18"/>
    </row>
    <row r="4" spans="1:13" s="13" customFormat="1" x14ac:dyDescent="0.2">
      <c r="A4" s="19" t="s">
        <v>23</v>
      </c>
      <c r="B4" s="18" t="s">
        <v>24</v>
      </c>
      <c r="C4" s="18"/>
      <c r="D4" s="18"/>
      <c r="E4" s="20"/>
      <c r="F4" s="18"/>
      <c r="G4" s="18"/>
      <c r="H4" s="18"/>
      <c r="I4" s="18"/>
    </row>
    <row r="5" spans="1:13" s="13" customFormat="1" x14ac:dyDescent="0.2">
      <c r="A5" s="19" t="s">
        <v>25</v>
      </c>
      <c r="B5" s="18" t="s">
        <v>75</v>
      </c>
      <c r="C5" s="18"/>
      <c r="D5" s="18"/>
      <c r="E5" s="20"/>
      <c r="F5" s="18"/>
      <c r="G5" s="18"/>
      <c r="H5" s="18"/>
      <c r="I5" s="18"/>
    </row>
    <row r="6" spans="1:13" s="13" customFormat="1" x14ac:dyDescent="0.2">
      <c r="A6" s="19" t="s">
        <v>26</v>
      </c>
      <c r="B6" s="80" t="s">
        <v>76</v>
      </c>
      <c r="C6" s="18"/>
      <c r="D6" s="18"/>
      <c r="E6" s="20"/>
      <c r="F6" s="18"/>
      <c r="G6" s="18"/>
      <c r="H6" s="18"/>
      <c r="I6" s="18"/>
    </row>
    <row r="7" spans="1:13" s="13" customFormat="1" x14ac:dyDescent="0.2">
      <c r="A7" s="19"/>
      <c r="B7" s="22"/>
      <c r="C7" s="18"/>
      <c r="D7" s="18"/>
      <c r="E7" s="20"/>
      <c r="F7" s="18"/>
      <c r="G7" s="18"/>
      <c r="H7" s="18"/>
      <c r="I7" s="18"/>
    </row>
    <row r="8" spans="1:13" s="13" customFormat="1" x14ac:dyDescent="0.2">
      <c r="A8" s="19" t="s">
        <v>14</v>
      </c>
      <c r="B8" s="33">
        <v>43739</v>
      </c>
      <c r="C8" s="18"/>
      <c r="D8" s="18"/>
      <c r="E8" s="21"/>
      <c r="F8" s="18"/>
      <c r="G8" s="18"/>
      <c r="H8" s="18"/>
      <c r="I8" s="18"/>
    </row>
    <row r="9" spans="1:13" s="13" customFormat="1" x14ac:dyDescent="0.2">
      <c r="A9" s="19" t="s">
        <v>16</v>
      </c>
      <c r="B9" s="18"/>
      <c r="C9" s="18"/>
      <c r="D9" s="18"/>
      <c r="E9" s="21"/>
      <c r="F9" s="18"/>
      <c r="G9" s="32"/>
      <c r="H9" s="18"/>
      <c r="I9" s="18"/>
      <c r="M9" s="39"/>
    </row>
    <row r="10" spans="1:13" ht="13.5" thickBot="1" x14ac:dyDescent="0.25"/>
    <row r="11" spans="1:13" ht="22.5" x14ac:dyDescent="0.2">
      <c r="A11" s="15" t="s">
        <v>6</v>
      </c>
      <c r="B11" s="16" t="s">
        <v>11</v>
      </c>
      <c r="C11" s="16" t="s">
        <v>0</v>
      </c>
      <c r="D11" s="16" t="s">
        <v>2</v>
      </c>
      <c r="E11" s="16" t="s">
        <v>5</v>
      </c>
      <c r="F11" s="16" t="s">
        <v>1</v>
      </c>
      <c r="G11" s="16" t="s">
        <v>8</v>
      </c>
      <c r="H11" s="16" t="s">
        <v>3</v>
      </c>
      <c r="I11" s="52" t="s">
        <v>4</v>
      </c>
      <c r="J11" s="58" t="s">
        <v>31</v>
      </c>
    </row>
    <row r="12" spans="1:13" ht="13.5" thickBot="1" x14ac:dyDescent="0.25">
      <c r="A12" s="17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4">
        <v>8</v>
      </c>
      <c r="I12" s="53">
        <v>9</v>
      </c>
      <c r="J12" s="59">
        <v>10</v>
      </c>
    </row>
    <row r="13" spans="1:13" ht="13.5" thickTop="1" x14ac:dyDescent="0.2">
      <c r="A13" s="29"/>
      <c r="B13" s="30" t="s">
        <v>27</v>
      </c>
      <c r="C13" s="31"/>
      <c r="D13" s="31"/>
      <c r="E13" s="64"/>
      <c r="F13" s="30"/>
      <c r="G13" s="64"/>
      <c r="H13" s="31"/>
      <c r="I13" s="31"/>
      <c r="J13" s="60"/>
    </row>
    <row r="14" spans="1:13" x14ac:dyDescent="0.2">
      <c r="A14" s="43">
        <v>1</v>
      </c>
      <c r="B14" s="47" t="s">
        <v>61</v>
      </c>
      <c r="C14" s="47" t="s">
        <v>7</v>
      </c>
      <c r="D14" s="28">
        <v>52</v>
      </c>
      <c r="E14" s="44">
        <v>136</v>
      </c>
      <c r="F14" s="45">
        <f t="shared" ref="F14:F46" si="0">E14*D14</f>
        <v>7072</v>
      </c>
      <c r="G14" s="44">
        <v>25</v>
      </c>
      <c r="H14" s="45">
        <f t="shared" ref="H14:H46" si="1">G14*D14</f>
        <v>1300</v>
      </c>
      <c r="I14" s="54">
        <f t="shared" ref="I14:I46" si="2">H14+F14</f>
        <v>8372</v>
      </c>
      <c r="J14" s="60">
        <f t="shared" ref="J14:J15" si="3">0.05*D14</f>
        <v>2.6</v>
      </c>
    </row>
    <row r="15" spans="1:13" x14ac:dyDescent="0.2">
      <c r="A15" s="43">
        <v>2</v>
      </c>
      <c r="B15" s="47" t="s">
        <v>62</v>
      </c>
      <c r="C15" s="47" t="s">
        <v>7</v>
      </c>
      <c r="D15" s="28">
        <v>14</v>
      </c>
      <c r="E15" s="44">
        <v>136</v>
      </c>
      <c r="F15" s="45">
        <f t="shared" si="0"/>
        <v>1904</v>
      </c>
      <c r="G15" s="44">
        <v>25</v>
      </c>
      <c r="H15" s="45">
        <f t="shared" si="1"/>
        <v>350</v>
      </c>
      <c r="I15" s="54">
        <f t="shared" si="2"/>
        <v>2254</v>
      </c>
      <c r="J15" s="60">
        <f t="shared" si="3"/>
        <v>0.70000000000000007</v>
      </c>
    </row>
    <row r="16" spans="1:13" x14ac:dyDescent="0.2">
      <c r="A16" s="71">
        <v>4</v>
      </c>
      <c r="B16" s="47" t="s">
        <v>40</v>
      </c>
      <c r="C16" s="47" t="s">
        <v>7</v>
      </c>
      <c r="D16" s="28">
        <f>SUM(D14:D15)</f>
        <v>66</v>
      </c>
      <c r="E16" s="42">
        <v>12.5</v>
      </c>
      <c r="F16" s="45">
        <f t="shared" si="0"/>
        <v>825</v>
      </c>
      <c r="G16" s="44">
        <v>12</v>
      </c>
      <c r="H16" s="45">
        <f t="shared" si="1"/>
        <v>792</v>
      </c>
      <c r="I16" s="54">
        <f t="shared" si="2"/>
        <v>1617</v>
      </c>
      <c r="J16" s="60"/>
    </row>
    <row r="17" spans="1:10" x14ac:dyDescent="0.2">
      <c r="A17" s="43">
        <v>5</v>
      </c>
      <c r="B17" s="47" t="s">
        <v>28</v>
      </c>
      <c r="C17" s="47" t="s">
        <v>32</v>
      </c>
      <c r="D17" s="28">
        <f>66*150/1000</f>
        <v>9.9</v>
      </c>
      <c r="E17" s="44">
        <v>3.4</v>
      </c>
      <c r="F17" s="45">
        <f t="shared" si="0"/>
        <v>33.660000000000004</v>
      </c>
      <c r="G17" s="44">
        <v>20</v>
      </c>
      <c r="H17" s="45">
        <f t="shared" si="1"/>
        <v>198</v>
      </c>
      <c r="I17" s="54">
        <f t="shared" si="2"/>
        <v>231.66</v>
      </c>
      <c r="J17" s="60"/>
    </row>
    <row r="18" spans="1:10" x14ac:dyDescent="0.2">
      <c r="A18" s="43">
        <v>6</v>
      </c>
      <c r="B18" s="47" t="s">
        <v>29</v>
      </c>
      <c r="C18" s="47" t="s">
        <v>32</v>
      </c>
      <c r="D18" s="28">
        <f>50*66/1000</f>
        <v>3.3</v>
      </c>
      <c r="E18" s="44">
        <v>7.2</v>
      </c>
      <c r="F18" s="45">
        <f t="shared" si="0"/>
        <v>23.759999999999998</v>
      </c>
      <c r="G18" s="44">
        <v>20</v>
      </c>
      <c r="H18" s="45">
        <f t="shared" si="1"/>
        <v>66</v>
      </c>
      <c r="I18" s="54">
        <f t="shared" si="2"/>
        <v>89.759999999999991</v>
      </c>
      <c r="J18" s="60"/>
    </row>
    <row r="19" spans="1:10" x14ac:dyDescent="0.2">
      <c r="A19" s="43">
        <v>7</v>
      </c>
      <c r="B19" s="47" t="s">
        <v>37</v>
      </c>
      <c r="C19" s="41" t="s">
        <v>22</v>
      </c>
      <c r="D19" s="46">
        <f>SUM(D14:D15)*0.01*10</f>
        <v>6.6000000000000005</v>
      </c>
      <c r="E19" s="42">
        <v>6.5</v>
      </c>
      <c r="F19" s="45">
        <f t="shared" si="0"/>
        <v>42.900000000000006</v>
      </c>
      <c r="G19" s="44">
        <v>22</v>
      </c>
      <c r="H19" s="45">
        <f t="shared" si="1"/>
        <v>145.20000000000002</v>
      </c>
      <c r="I19" s="54">
        <f t="shared" si="2"/>
        <v>188.10000000000002</v>
      </c>
      <c r="J19" s="60">
        <v>7.8</v>
      </c>
    </row>
    <row r="20" spans="1:10" x14ac:dyDescent="0.2">
      <c r="A20" s="43">
        <v>8.4666666666666703</v>
      </c>
      <c r="B20" s="27" t="s">
        <v>51</v>
      </c>
      <c r="C20" s="41" t="s">
        <v>21</v>
      </c>
      <c r="D20" s="46">
        <v>210</v>
      </c>
      <c r="E20" s="42">
        <v>19.5</v>
      </c>
      <c r="F20" s="45">
        <f t="shared" si="0"/>
        <v>4095</v>
      </c>
      <c r="G20" s="42">
        <v>12</v>
      </c>
      <c r="H20" s="45">
        <f t="shared" si="1"/>
        <v>2520</v>
      </c>
      <c r="I20" s="54">
        <f t="shared" si="2"/>
        <v>6615</v>
      </c>
      <c r="J20" s="61"/>
    </row>
    <row r="21" spans="1:10" x14ac:dyDescent="0.2">
      <c r="A21" s="43">
        <v>9.3733333333333295</v>
      </c>
      <c r="B21" s="27" t="s">
        <v>58</v>
      </c>
      <c r="C21" s="27" t="s">
        <v>21</v>
      </c>
      <c r="D21" s="46">
        <v>750</v>
      </c>
      <c r="E21" s="42">
        <v>14.4</v>
      </c>
      <c r="F21" s="1">
        <f>E21*D21</f>
        <v>10800</v>
      </c>
      <c r="G21" s="42">
        <v>12</v>
      </c>
      <c r="H21" s="1">
        <f>G21*D21</f>
        <v>9000</v>
      </c>
      <c r="I21" s="55">
        <f>H21+F21</f>
        <v>19800</v>
      </c>
      <c r="J21" s="61"/>
    </row>
    <row r="22" spans="1:10" ht="22.5" x14ac:dyDescent="0.2">
      <c r="A22" s="43">
        <v>10</v>
      </c>
      <c r="B22" s="47" t="s">
        <v>19</v>
      </c>
      <c r="C22" s="47" t="s">
        <v>13</v>
      </c>
      <c r="D22" s="28">
        <f>D14+D15</f>
        <v>66</v>
      </c>
      <c r="E22" s="44">
        <v>4.5999999999999996</v>
      </c>
      <c r="F22" s="45">
        <f t="shared" ref="F22" si="4">E22*D22</f>
        <v>303.59999999999997</v>
      </c>
      <c r="G22" s="44">
        <v>2.4</v>
      </c>
      <c r="H22" s="45">
        <f t="shared" ref="H22" si="5">G22*D22</f>
        <v>158.4</v>
      </c>
      <c r="I22" s="54">
        <f t="shared" ref="I22" si="6">H22+F22</f>
        <v>462</v>
      </c>
      <c r="J22" s="61"/>
    </row>
    <row r="23" spans="1:10" x14ac:dyDescent="0.2">
      <c r="A23" s="29"/>
      <c r="B23" s="65" t="s">
        <v>48</v>
      </c>
      <c r="C23" s="31"/>
      <c r="D23" s="31"/>
      <c r="E23" s="64"/>
      <c r="F23" s="30"/>
      <c r="G23" s="64"/>
      <c r="H23" s="31"/>
      <c r="I23" s="31"/>
      <c r="J23" s="60"/>
    </row>
    <row r="24" spans="1:10" x14ac:dyDescent="0.2">
      <c r="A24" s="43">
        <v>11</v>
      </c>
      <c r="B24" s="47" t="s">
        <v>63</v>
      </c>
      <c r="C24" s="47" t="s">
        <v>7</v>
      </c>
      <c r="D24" s="28">
        <v>205</v>
      </c>
      <c r="E24" s="42">
        <v>3.5</v>
      </c>
      <c r="F24" s="45">
        <f t="shared" si="0"/>
        <v>717.5</v>
      </c>
      <c r="G24" s="44">
        <v>2.4</v>
      </c>
      <c r="H24" s="45">
        <f t="shared" si="1"/>
        <v>492</v>
      </c>
      <c r="I24" s="54">
        <f t="shared" si="2"/>
        <v>1209.5</v>
      </c>
      <c r="J24" s="60">
        <f>D24*2/1000</f>
        <v>0.41</v>
      </c>
    </row>
    <row r="25" spans="1:10" x14ac:dyDescent="0.2">
      <c r="A25" s="43">
        <v>12</v>
      </c>
      <c r="B25" s="47" t="s">
        <v>64</v>
      </c>
      <c r="C25" s="47" t="s">
        <v>7</v>
      </c>
      <c r="D25" s="28">
        <v>303</v>
      </c>
      <c r="E25" s="42">
        <v>6</v>
      </c>
      <c r="F25" s="45">
        <f t="shared" si="0"/>
        <v>1818</v>
      </c>
      <c r="G25" s="44">
        <v>2.4</v>
      </c>
      <c r="H25" s="45">
        <f t="shared" si="1"/>
        <v>727.19999999999993</v>
      </c>
      <c r="I25" s="54">
        <f t="shared" si="2"/>
        <v>2545.1999999999998</v>
      </c>
      <c r="J25" s="60">
        <f t="shared" ref="J25:J26" si="7">D25*2/1000</f>
        <v>0.60599999999999998</v>
      </c>
    </row>
    <row r="26" spans="1:10" x14ac:dyDescent="0.2">
      <c r="A26" s="43">
        <v>13</v>
      </c>
      <c r="B26" s="47" t="s">
        <v>49</v>
      </c>
      <c r="C26" s="47" t="s">
        <v>7</v>
      </c>
      <c r="D26" s="28">
        <v>179</v>
      </c>
      <c r="E26" s="42">
        <v>6</v>
      </c>
      <c r="F26" s="45">
        <f t="shared" si="0"/>
        <v>1074</v>
      </c>
      <c r="G26" s="44">
        <v>2.4</v>
      </c>
      <c r="H26" s="45">
        <f t="shared" si="1"/>
        <v>429.59999999999997</v>
      </c>
      <c r="I26" s="54">
        <f t="shared" si="2"/>
        <v>1503.6</v>
      </c>
      <c r="J26" s="60">
        <f t="shared" si="7"/>
        <v>0.35799999999999998</v>
      </c>
    </row>
    <row r="27" spans="1:10" x14ac:dyDescent="0.2">
      <c r="A27" s="43">
        <v>14</v>
      </c>
      <c r="B27" s="47" t="s">
        <v>65</v>
      </c>
      <c r="C27" s="47" t="s">
        <v>7</v>
      </c>
      <c r="D27" s="46">
        <v>220</v>
      </c>
      <c r="E27" s="42">
        <v>3.5</v>
      </c>
      <c r="F27" s="45">
        <f t="shared" si="0"/>
        <v>770</v>
      </c>
      <c r="G27" s="44">
        <v>2.4</v>
      </c>
      <c r="H27" s="45">
        <f t="shared" si="1"/>
        <v>528</v>
      </c>
      <c r="I27" s="54">
        <f t="shared" si="2"/>
        <v>1298</v>
      </c>
      <c r="J27" s="60"/>
    </row>
    <row r="28" spans="1:10" x14ac:dyDescent="0.2">
      <c r="A28" s="43">
        <v>15</v>
      </c>
      <c r="B28" s="47" t="s">
        <v>50</v>
      </c>
      <c r="C28" s="47" t="s">
        <v>7</v>
      </c>
      <c r="D28" s="46">
        <v>179</v>
      </c>
      <c r="E28" s="42">
        <v>2.6</v>
      </c>
      <c r="F28" s="45">
        <f t="shared" si="0"/>
        <v>465.40000000000003</v>
      </c>
      <c r="G28" s="44">
        <v>2.4</v>
      </c>
      <c r="H28" s="45">
        <f t="shared" si="1"/>
        <v>429.59999999999997</v>
      </c>
      <c r="I28" s="54">
        <f t="shared" si="2"/>
        <v>895</v>
      </c>
      <c r="J28" s="60"/>
    </row>
    <row r="29" spans="1:10" x14ac:dyDescent="0.2">
      <c r="A29" s="43">
        <v>16</v>
      </c>
      <c r="B29" s="47" t="s">
        <v>36</v>
      </c>
      <c r="C29" s="47" t="s">
        <v>13</v>
      </c>
      <c r="D29" s="46">
        <v>780</v>
      </c>
      <c r="E29" s="42">
        <v>0</v>
      </c>
      <c r="F29" s="45">
        <f>E29*D29</f>
        <v>0</v>
      </c>
      <c r="G29" s="44">
        <v>2.2000000000000002</v>
      </c>
      <c r="H29" s="45">
        <f>G29*D29</f>
        <v>1716.0000000000002</v>
      </c>
      <c r="I29" s="54">
        <f t="shared" si="2"/>
        <v>1716.0000000000002</v>
      </c>
      <c r="J29" s="60"/>
    </row>
    <row r="30" spans="1:10" x14ac:dyDescent="0.2">
      <c r="A30" s="43">
        <v>17</v>
      </c>
      <c r="B30" s="47" t="s">
        <v>17</v>
      </c>
      <c r="C30" s="47" t="s">
        <v>32</v>
      </c>
      <c r="D30" s="28">
        <f>50*SUM(D24:D28)/1000</f>
        <v>54.3</v>
      </c>
      <c r="E30" s="44">
        <v>3.4</v>
      </c>
      <c r="F30" s="45">
        <f>E30*D30</f>
        <v>184.61999999999998</v>
      </c>
      <c r="G30" s="44">
        <v>20</v>
      </c>
      <c r="H30" s="45">
        <f>G30*D30</f>
        <v>1086</v>
      </c>
      <c r="I30" s="54">
        <f t="shared" si="2"/>
        <v>1270.6199999999999</v>
      </c>
      <c r="J30" s="60"/>
    </row>
    <row r="31" spans="1:10" x14ac:dyDescent="0.2">
      <c r="A31" s="43">
        <v>18</v>
      </c>
      <c r="B31" s="47" t="s">
        <v>18</v>
      </c>
      <c r="C31" s="47" t="s">
        <v>32</v>
      </c>
      <c r="D31" s="28">
        <f>SUM(D24:D28)*25/1000</f>
        <v>27.15</v>
      </c>
      <c r="E31" s="44">
        <v>7.2</v>
      </c>
      <c r="F31" s="45">
        <f t="shared" si="0"/>
        <v>195.48</v>
      </c>
      <c r="G31" s="44">
        <v>20</v>
      </c>
      <c r="H31" s="45">
        <f t="shared" si="1"/>
        <v>543</v>
      </c>
      <c r="I31" s="54">
        <f t="shared" si="2"/>
        <v>738.48</v>
      </c>
      <c r="J31" s="60"/>
    </row>
    <row r="32" spans="1:10" ht="22.5" x14ac:dyDescent="0.2">
      <c r="A32" s="43">
        <v>19</v>
      </c>
      <c r="B32" s="47" t="s">
        <v>19</v>
      </c>
      <c r="C32" s="47" t="s">
        <v>13</v>
      </c>
      <c r="D32" s="28">
        <v>780</v>
      </c>
      <c r="E32" s="44">
        <v>4.5999999999999996</v>
      </c>
      <c r="F32" s="45">
        <f t="shared" si="0"/>
        <v>3587.9999999999995</v>
      </c>
      <c r="G32" s="44">
        <v>2.4</v>
      </c>
      <c r="H32" s="45">
        <f t="shared" si="1"/>
        <v>1872</v>
      </c>
      <c r="I32" s="54">
        <f t="shared" si="2"/>
        <v>5460</v>
      </c>
      <c r="J32" s="60"/>
    </row>
    <row r="33" spans="1:13" x14ac:dyDescent="0.2">
      <c r="A33" s="43">
        <v>20</v>
      </c>
      <c r="B33" s="47" t="s">
        <v>52</v>
      </c>
      <c r="C33" s="47" t="s">
        <v>22</v>
      </c>
      <c r="D33" s="46">
        <f>780*0.002*14</f>
        <v>21.84</v>
      </c>
      <c r="E33" s="44">
        <v>6.5</v>
      </c>
      <c r="F33" s="45">
        <f t="shared" si="0"/>
        <v>141.96</v>
      </c>
      <c r="G33" s="44">
        <v>22</v>
      </c>
      <c r="H33" s="45">
        <f t="shared" si="1"/>
        <v>480.48</v>
      </c>
      <c r="I33" s="45">
        <f t="shared" si="2"/>
        <v>622.44000000000005</v>
      </c>
      <c r="J33" s="60"/>
    </row>
    <row r="34" spans="1:13" x14ac:dyDescent="0.2">
      <c r="A34" s="29"/>
      <c r="B34" s="65" t="s">
        <v>60</v>
      </c>
      <c r="C34" s="31"/>
      <c r="D34" s="31"/>
      <c r="E34" s="64"/>
      <c r="F34" s="30"/>
      <c r="G34" s="64"/>
      <c r="H34" s="31"/>
      <c r="I34" s="31"/>
      <c r="J34" s="60"/>
    </row>
    <row r="35" spans="1:13" x14ac:dyDescent="0.2">
      <c r="A35" s="67">
        <v>21</v>
      </c>
      <c r="B35" s="48" t="s">
        <v>30</v>
      </c>
      <c r="C35" s="48" t="s">
        <v>22</v>
      </c>
      <c r="D35" s="49">
        <v>253.3</v>
      </c>
      <c r="E35" s="50">
        <v>92</v>
      </c>
      <c r="F35" s="51">
        <f t="shared" si="0"/>
        <v>23303.600000000002</v>
      </c>
      <c r="G35" s="50">
        <v>36</v>
      </c>
      <c r="H35" s="51">
        <f t="shared" si="1"/>
        <v>9118.8000000000011</v>
      </c>
      <c r="I35" s="56">
        <f t="shared" si="2"/>
        <v>32422.400000000001</v>
      </c>
      <c r="J35" s="62">
        <f>D35*0.4</f>
        <v>101.32000000000001</v>
      </c>
    </row>
    <row r="36" spans="1:13" x14ac:dyDescent="0.2">
      <c r="A36" s="67">
        <v>22</v>
      </c>
      <c r="B36" s="27" t="s">
        <v>53</v>
      </c>
      <c r="C36" s="47" t="s">
        <v>13</v>
      </c>
      <c r="D36" s="46">
        <v>5784</v>
      </c>
      <c r="E36" s="42">
        <v>1.5</v>
      </c>
      <c r="F36" s="45">
        <f t="shared" si="0"/>
        <v>8676</v>
      </c>
      <c r="G36" s="42">
        <v>0.3</v>
      </c>
      <c r="H36" s="45">
        <f t="shared" si="1"/>
        <v>1735.2</v>
      </c>
      <c r="I36" s="54">
        <f t="shared" si="2"/>
        <v>10411.200000000001</v>
      </c>
      <c r="J36" s="60"/>
    </row>
    <row r="37" spans="1:13" x14ac:dyDescent="0.2">
      <c r="A37" s="67">
        <v>23</v>
      </c>
      <c r="B37" s="27" t="s">
        <v>59</v>
      </c>
      <c r="C37" s="47" t="s">
        <v>13</v>
      </c>
      <c r="D37" s="46">
        <v>4975.92</v>
      </c>
      <c r="E37" s="42">
        <v>7</v>
      </c>
      <c r="F37" s="45">
        <f t="shared" si="0"/>
        <v>34831.440000000002</v>
      </c>
      <c r="G37" s="42">
        <v>1.2</v>
      </c>
      <c r="H37" s="45">
        <f t="shared" si="1"/>
        <v>5971.1040000000003</v>
      </c>
      <c r="I37" s="54">
        <f t="shared" si="2"/>
        <v>40802.544000000002</v>
      </c>
      <c r="J37" s="60">
        <f>D37*0.003</f>
        <v>14.927760000000001</v>
      </c>
    </row>
    <row r="38" spans="1:13" x14ac:dyDescent="0.2">
      <c r="A38" s="67">
        <v>24</v>
      </c>
      <c r="B38" s="27" t="s">
        <v>66</v>
      </c>
      <c r="C38" s="27" t="s">
        <v>22</v>
      </c>
      <c r="D38" s="46">
        <v>48.75</v>
      </c>
      <c r="E38" s="42">
        <v>40</v>
      </c>
      <c r="F38" s="45">
        <f t="shared" si="0"/>
        <v>1950</v>
      </c>
      <c r="G38" s="42">
        <v>27</v>
      </c>
      <c r="H38" s="45">
        <f t="shared" si="1"/>
        <v>1316.25</v>
      </c>
      <c r="I38" s="54">
        <f t="shared" si="2"/>
        <v>3266.25</v>
      </c>
      <c r="J38" s="60"/>
    </row>
    <row r="39" spans="1:13" x14ac:dyDescent="0.2">
      <c r="A39" s="67">
        <v>25</v>
      </c>
      <c r="B39" s="27" t="s">
        <v>33</v>
      </c>
      <c r="C39" s="27" t="s">
        <v>32</v>
      </c>
      <c r="D39" s="46">
        <f>D36*0.08</f>
        <v>462.72</v>
      </c>
      <c r="E39" s="42">
        <v>21.5</v>
      </c>
      <c r="F39" s="45">
        <f t="shared" si="0"/>
        <v>9948.4800000000014</v>
      </c>
      <c r="G39" s="42">
        <v>3.5</v>
      </c>
      <c r="H39" s="45">
        <f t="shared" si="1"/>
        <v>1619.52</v>
      </c>
      <c r="I39" s="54">
        <f t="shared" si="2"/>
        <v>11568.000000000002</v>
      </c>
      <c r="J39" s="60">
        <f>D39/1000</f>
        <v>0.46272000000000002</v>
      </c>
    </row>
    <row r="40" spans="1:13" x14ac:dyDescent="0.2">
      <c r="A40" s="67">
        <v>26</v>
      </c>
      <c r="B40" s="27" t="s">
        <v>67</v>
      </c>
      <c r="C40" s="27" t="s">
        <v>7</v>
      </c>
      <c r="D40" s="46">
        <v>32</v>
      </c>
      <c r="E40" s="42">
        <v>70.650000000000006</v>
      </c>
      <c r="F40" s="45">
        <f t="shared" si="0"/>
        <v>2260.8000000000002</v>
      </c>
      <c r="G40" s="42">
        <v>35</v>
      </c>
      <c r="H40" s="45">
        <f t="shared" si="1"/>
        <v>1120</v>
      </c>
      <c r="I40" s="54">
        <f t="shared" si="2"/>
        <v>3380.8</v>
      </c>
      <c r="J40" s="60"/>
    </row>
    <row r="41" spans="1:13" x14ac:dyDescent="0.2">
      <c r="A41" s="67">
        <v>27</v>
      </c>
      <c r="B41" s="27" t="s">
        <v>68</v>
      </c>
      <c r="C41" s="27" t="s">
        <v>7</v>
      </c>
      <c r="D41" s="46">
        <v>232</v>
      </c>
      <c r="E41" s="42">
        <v>19.23</v>
      </c>
      <c r="F41" s="45">
        <f t="shared" si="0"/>
        <v>4461.3599999999997</v>
      </c>
      <c r="G41" s="42">
        <v>15</v>
      </c>
      <c r="H41" s="45">
        <f t="shared" si="1"/>
        <v>3480</v>
      </c>
      <c r="I41" s="54">
        <f t="shared" si="2"/>
        <v>7941.36</v>
      </c>
      <c r="J41" s="60"/>
    </row>
    <row r="42" spans="1:13" x14ac:dyDescent="0.2">
      <c r="A42" s="67">
        <v>28</v>
      </c>
      <c r="B42" s="27" t="s">
        <v>69</v>
      </c>
      <c r="C42" s="27" t="s">
        <v>7</v>
      </c>
      <c r="D42" s="46">
        <v>158</v>
      </c>
      <c r="E42" s="42">
        <v>19.23</v>
      </c>
      <c r="F42" s="45">
        <f t="shared" si="0"/>
        <v>3038.34</v>
      </c>
      <c r="G42" s="42">
        <v>15</v>
      </c>
      <c r="H42" s="45">
        <f t="shared" si="1"/>
        <v>2370</v>
      </c>
      <c r="I42" s="54">
        <f t="shared" si="2"/>
        <v>5408.34</v>
      </c>
      <c r="J42" s="60"/>
    </row>
    <row r="43" spans="1:13" x14ac:dyDescent="0.2">
      <c r="A43" s="67">
        <v>29</v>
      </c>
      <c r="B43" s="27" t="s">
        <v>70</v>
      </c>
      <c r="C43" s="27" t="s">
        <v>7</v>
      </c>
      <c r="D43" s="46">
        <v>20</v>
      </c>
      <c r="E43" s="42">
        <v>19.23</v>
      </c>
      <c r="F43" s="45">
        <f t="shared" si="0"/>
        <v>384.6</v>
      </c>
      <c r="G43" s="42">
        <v>15</v>
      </c>
      <c r="H43" s="45">
        <f t="shared" si="1"/>
        <v>300</v>
      </c>
      <c r="I43" s="54">
        <f t="shared" si="2"/>
        <v>684.6</v>
      </c>
      <c r="J43" s="60"/>
    </row>
    <row r="44" spans="1:13" x14ac:dyDescent="0.2">
      <c r="A44" s="67">
        <v>30</v>
      </c>
      <c r="B44" s="27" t="s">
        <v>71</v>
      </c>
      <c r="C44" s="27" t="s">
        <v>7</v>
      </c>
      <c r="D44" s="46">
        <v>6</v>
      </c>
      <c r="E44" s="42">
        <v>19.23</v>
      </c>
      <c r="F44" s="45">
        <f t="shared" si="0"/>
        <v>115.38</v>
      </c>
      <c r="G44" s="42">
        <v>15</v>
      </c>
      <c r="H44" s="45">
        <f t="shared" si="1"/>
        <v>90</v>
      </c>
      <c r="I44" s="54">
        <f t="shared" si="2"/>
        <v>205.38</v>
      </c>
      <c r="J44" s="60"/>
    </row>
    <row r="45" spans="1:13" x14ac:dyDescent="0.2">
      <c r="A45" s="67">
        <v>31</v>
      </c>
      <c r="B45" s="27" t="s">
        <v>72</v>
      </c>
      <c r="C45" s="27" t="s">
        <v>13</v>
      </c>
      <c r="D45" s="46">
        <v>940</v>
      </c>
      <c r="E45" s="42">
        <v>11.54</v>
      </c>
      <c r="F45" s="45">
        <f t="shared" si="0"/>
        <v>10847.599999999999</v>
      </c>
      <c r="G45" s="42">
        <v>5</v>
      </c>
      <c r="H45" s="45">
        <f t="shared" si="1"/>
        <v>4700</v>
      </c>
      <c r="I45" s="54">
        <f t="shared" si="2"/>
        <v>15547.599999999999</v>
      </c>
      <c r="J45" s="60"/>
      <c r="M45" s="79"/>
    </row>
    <row r="46" spans="1:13" x14ac:dyDescent="0.2">
      <c r="A46" s="67">
        <v>32</v>
      </c>
      <c r="B46" s="27" t="s">
        <v>73</v>
      </c>
      <c r="C46" s="27" t="s">
        <v>74</v>
      </c>
      <c r="D46" s="46">
        <v>1</v>
      </c>
      <c r="E46" s="42"/>
      <c r="F46" s="45">
        <f t="shared" si="0"/>
        <v>0</v>
      </c>
      <c r="G46" s="42">
        <v>3900</v>
      </c>
      <c r="H46" s="45">
        <f t="shared" si="1"/>
        <v>3900</v>
      </c>
      <c r="I46" s="54">
        <f t="shared" si="2"/>
        <v>3900</v>
      </c>
      <c r="J46" s="60"/>
      <c r="M46" s="79">
        <f>SUM(F35:F45)</f>
        <v>99817.600000000006</v>
      </c>
    </row>
    <row r="47" spans="1:13" x14ac:dyDescent="0.2">
      <c r="A47" s="67">
        <v>33</v>
      </c>
      <c r="B47" s="47" t="s">
        <v>34</v>
      </c>
      <c r="C47" s="47" t="s">
        <v>35</v>
      </c>
      <c r="D47" s="40">
        <f>J47</f>
        <v>129.18448000000001</v>
      </c>
      <c r="E47" s="44"/>
      <c r="F47" s="45">
        <f>E47*D47</f>
        <v>0</v>
      </c>
      <c r="G47" s="44">
        <v>22</v>
      </c>
      <c r="H47" s="45">
        <f>G47*D47</f>
        <v>2842.0585600000004</v>
      </c>
      <c r="I47" s="54">
        <f>H47+F47</f>
        <v>2842.0585600000004</v>
      </c>
      <c r="J47" s="60">
        <f>SUM(J14:J39)</f>
        <v>129.18448000000001</v>
      </c>
    </row>
    <row r="48" spans="1:13" x14ac:dyDescent="0.2">
      <c r="A48" s="29"/>
      <c r="B48" s="65" t="s">
        <v>41</v>
      </c>
      <c r="C48" s="31"/>
      <c r="D48" s="31"/>
      <c r="E48" s="64"/>
      <c r="F48" s="64"/>
      <c r="G48" s="64"/>
      <c r="H48" s="64"/>
      <c r="I48" s="64"/>
      <c r="J48" s="60"/>
      <c r="M48" s="79"/>
    </row>
    <row r="49" spans="1:10" x14ac:dyDescent="0.2">
      <c r="A49" s="43">
        <v>34</v>
      </c>
      <c r="B49" s="47" t="s">
        <v>42</v>
      </c>
      <c r="C49" s="47" t="s">
        <v>13</v>
      </c>
      <c r="D49" s="46">
        <v>1045</v>
      </c>
      <c r="E49" s="44">
        <v>0.01</v>
      </c>
      <c r="F49" s="45">
        <f t="shared" ref="F49:F59" si="8">E49*D49</f>
        <v>10.450000000000001</v>
      </c>
      <c r="G49" s="44">
        <v>0.01</v>
      </c>
      <c r="H49" s="45">
        <f t="shared" ref="H49:H59" si="9">G49*D49</f>
        <v>10.450000000000001</v>
      </c>
      <c r="I49" s="54">
        <f t="shared" ref="I49:I59" si="10">H49+F49</f>
        <v>20.900000000000002</v>
      </c>
      <c r="J49" s="60"/>
    </row>
    <row r="50" spans="1:10" ht="22.5" x14ac:dyDescent="0.2">
      <c r="A50" s="43">
        <v>35</v>
      </c>
      <c r="B50" s="47" t="s">
        <v>43</v>
      </c>
      <c r="C50" s="47" t="s">
        <v>13</v>
      </c>
      <c r="D50" s="46">
        <v>1045</v>
      </c>
      <c r="E50" s="44">
        <v>0.34</v>
      </c>
      <c r="F50" s="45">
        <f t="shared" si="8"/>
        <v>355.3</v>
      </c>
      <c r="G50" s="44">
        <v>0.34</v>
      </c>
      <c r="H50" s="45">
        <f t="shared" si="9"/>
        <v>355.3</v>
      </c>
      <c r="I50" s="54">
        <f t="shared" si="10"/>
        <v>710.6</v>
      </c>
      <c r="J50" s="60"/>
    </row>
    <row r="51" spans="1:10" x14ac:dyDescent="0.2">
      <c r="A51" s="43">
        <v>36</v>
      </c>
      <c r="B51" s="47" t="s">
        <v>44</v>
      </c>
      <c r="C51" s="47" t="s">
        <v>32</v>
      </c>
      <c r="D51" s="46">
        <f>150*D49/1000</f>
        <v>156.75</v>
      </c>
      <c r="E51" s="44">
        <v>3.4</v>
      </c>
      <c r="F51" s="45">
        <f t="shared" si="8"/>
        <v>532.94999999999993</v>
      </c>
      <c r="G51" s="44">
        <v>20</v>
      </c>
      <c r="H51" s="45">
        <f t="shared" si="9"/>
        <v>3135</v>
      </c>
      <c r="I51" s="54">
        <f t="shared" si="10"/>
        <v>3667.95</v>
      </c>
      <c r="J51" s="60"/>
    </row>
    <row r="52" spans="1:10" x14ac:dyDescent="0.2">
      <c r="A52" s="43">
        <v>37</v>
      </c>
      <c r="B52" s="47" t="s">
        <v>45</v>
      </c>
      <c r="C52" s="47" t="s">
        <v>32</v>
      </c>
      <c r="D52" s="46">
        <f>D49*0.04</f>
        <v>41.800000000000004</v>
      </c>
      <c r="E52" s="44">
        <v>1.52</v>
      </c>
      <c r="F52" s="45">
        <f t="shared" si="8"/>
        <v>63.536000000000008</v>
      </c>
      <c r="G52" s="44">
        <v>0.05</v>
      </c>
      <c r="H52" s="45">
        <f t="shared" si="9"/>
        <v>2.0900000000000003</v>
      </c>
      <c r="I52" s="54">
        <f t="shared" si="10"/>
        <v>65.626000000000005</v>
      </c>
      <c r="J52" s="60"/>
    </row>
    <row r="53" spans="1:10" x14ac:dyDescent="0.2">
      <c r="A53" s="43">
        <v>38</v>
      </c>
      <c r="B53" s="66" t="s">
        <v>46</v>
      </c>
      <c r="C53" s="66" t="s">
        <v>32</v>
      </c>
      <c r="D53" s="46">
        <f>1045*0.05</f>
        <v>52.25</v>
      </c>
      <c r="E53" s="44">
        <v>0.35</v>
      </c>
      <c r="F53" s="45">
        <f t="shared" si="8"/>
        <v>18.287499999999998</v>
      </c>
      <c r="G53" s="44">
        <v>0.126</v>
      </c>
      <c r="H53" s="45">
        <f t="shared" si="9"/>
        <v>6.5834999999999999</v>
      </c>
      <c r="I53" s="54">
        <f t="shared" si="10"/>
        <v>24.870999999999999</v>
      </c>
      <c r="J53" s="60"/>
    </row>
    <row r="54" spans="1:10" x14ac:dyDescent="0.2">
      <c r="A54" s="43">
        <v>39</v>
      </c>
      <c r="B54" s="47" t="s">
        <v>47</v>
      </c>
      <c r="C54" s="47" t="s">
        <v>22</v>
      </c>
      <c r="D54" s="46">
        <f>D49*0.002*14</f>
        <v>29.259999999999998</v>
      </c>
      <c r="E54" s="44">
        <v>6.5</v>
      </c>
      <c r="F54" s="45">
        <f t="shared" si="8"/>
        <v>190.19</v>
      </c>
      <c r="G54" s="44">
        <v>22</v>
      </c>
      <c r="H54" s="45">
        <f t="shared" si="9"/>
        <v>643.71999999999991</v>
      </c>
      <c r="I54" s="54">
        <f t="shared" si="10"/>
        <v>833.90999999999985</v>
      </c>
      <c r="J54" s="60"/>
    </row>
    <row r="55" spans="1:10" x14ac:dyDescent="0.2">
      <c r="A55" s="29"/>
      <c r="B55" s="65"/>
      <c r="C55" s="31"/>
      <c r="D55" s="31"/>
      <c r="E55" s="64"/>
      <c r="F55" s="64"/>
      <c r="G55" s="64"/>
      <c r="H55" s="64"/>
      <c r="I55" s="64"/>
      <c r="J55" s="69"/>
    </row>
    <row r="56" spans="1:10" s="77" customFormat="1" x14ac:dyDescent="0.2">
      <c r="A56" s="72">
        <v>40</v>
      </c>
      <c r="B56" s="73" t="s">
        <v>54</v>
      </c>
      <c r="C56" s="73" t="s">
        <v>13</v>
      </c>
      <c r="D56" s="74">
        <v>2152.4899999999998</v>
      </c>
      <c r="E56" s="68"/>
      <c r="F56" s="75">
        <f t="shared" si="8"/>
        <v>0</v>
      </c>
      <c r="G56" s="68"/>
      <c r="H56" s="75">
        <f t="shared" si="9"/>
        <v>0</v>
      </c>
      <c r="I56" s="76">
        <f t="shared" si="10"/>
        <v>0</v>
      </c>
      <c r="J56" s="69"/>
    </row>
    <row r="57" spans="1:10" s="77" customFormat="1" x14ac:dyDescent="0.2">
      <c r="A57" s="72">
        <v>41</v>
      </c>
      <c r="B57" s="73" t="s">
        <v>55</v>
      </c>
      <c r="C57" s="73" t="s">
        <v>13</v>
      </c>
      <c r="D57" s="74">
        <v>2152.4899999999998</v>
      </c>
      <c r="E57" s="68"/>
      <c r="F57" s="75">
        <f t="shared" si="8"/>
        <v>0</v>
      </c>
      <c r="G57" s="68"/>
      <c r="H57" s="75">
        <f t="shared" si="9"/>
        <v>0</v>
      </c>
      <c r="I57" s="76">
        <f t="shared" si="10"/>
        <v>0</v>
      </c>
      <c r="J57" s="69"/>
    </row>
    <row r="58" spans="1:10" s="77" customFormat="1" x14ac:dyDescent="0.2">
      <c r="A58" s="72">
        <v>42</v>
      </c>
      <c r="B58" s="73" t="s">
        <v>56</v>
      </c>
      <c r="C58" s="73" t="s">
        <v>13</v>
      </c>
      <c r="D58" s="74">
        <v>2152.4899999999998</v>
      </c>
      <c r="E58" s="68"/>
      <c r="F58" s="75">
        <f t="shared" si="8"/>
        <v>0</v>
      </c>
      <c r="G58" s="68"/>
      <c r="H58" s="75">
        <f t="shared" si="9"/>
        <v>0</v>
      </c>
      <c r="I58" s="76">
        <f t="shared" si="10"/>
        <v>0</v>
      </c>
      <c r="J58" s="69"/>
    </row>
    <row r="59" spans="1:10" s="77" customFormat="1" ht="23.25" thickBot="1" x14ac:dyDescent="0.25">
      <c r="A59" s="72">
        <v>43</v>
      </c>
      <c r="B59" s="78" t="s">
        <v>57</v>
      </c>
      <c r="C59" s="73" t="s">
        <v>13</v>
      </c>
      <c r="D59" s="74">
        <v>2152.4899999999998</v>
      </c>
      <c r="E59" s="68"/>
      <c r="F59" s="75">
        <f t="shared" si="8"/>
        <v>0</v>
      </c>
      <c r="G59" s="68"/>
      <c r="H59" s="75">
        <f t="shared" si="9"/>
        <v>0</v>
      </c>
      <c r="I59" s="76">
        <f t="shared" si="10"/>
        <v>0</v>
      </c>
      <c r="J59" s="70"/>
    </row>
    <row r="60" spans="1:10" ht="13.5" thickBot="1" x14ac:dyDescent="0.25">
      <c r="A60" s="2"/>
      <c r="B60" s="3" t="s">
        <v>10</v>
      </c>
      <c r="C60" s="4"/>
      <c r="D60" s="7"/>
      <c r="E60" s="5"/>
      <c r="F60" s="6">
        <f>SUM(F14:F47)</f>
        <v>133872.48000000001</v>
      </c>
      <c r="G60" s="6"/>
      <c r="H60" s="6">
        <f>SUM(H14:H47)</f>
        <v>61396.41255999999</v>
      </c>
      <c r="I60" s="57">
        <f>SUM(I14:I47)</f>
        <v>195268.89256000001</v>
      </c>
      <c r="J60" s="63"/>
    </row>
    <row r="62" spans="1:10" x14ac:dyDescent="0.2">
      <c r="A62" s="34"/>
      <c r="B62" s="10" t="s">
        <v>20</v>
      </c>
      <c r="C62" s="35"/>
      <c r="D62" s="35"/>
      <c r="E62" s="36"/>
      <c r="F62" s="11">
        <f>F60*0.2</f>
        <v>26774.496000000003</v>
      </c>
      <c r="G62" s="11"/>
      <c r="H62" s="11">
        <f>H60*0.2</f>
        <v>12279.282511999998</v>
      </c>
      <c r="I62" s="11">
        <f>I60*0.2</f>
        <v>39053.778512000004</v>
      </c>
    </row>
    <row r="63" spans="1:10" x14ac:dyDescent="0.2">
      <c r="A63" s="34"/>
      <c r="B63" s="8" t="s">
        <v>12</v>
      </c>
      <c r="C63" s="35"/>
      <c r="D63" s="35"/>
      <c r="E63" s="35"/>
      <c r="F63" s="9"/>
      <c r="G63" s="9"/>
      <c r="H63" s="9"/>
      <c r="I63" s="12">
        <f>SUM(I60:I62)</f>
        <v>234322.671072</v>
      </c>
    </row>
    <row r="68" spans="1:5" s="23" customFormat="1" ht="10.5" customHeight="1" x14ac:dyDescent="0.2"/>
    <row r="69" spans="1:5" s="23" customFormat="1" x14ac:dyDescent="0.2"/>
    <row r="70" spans="1:5" s="23" customFormat="1" x14ac:dyDescent="0.2"/>
    <row r="71" spans="1:5" s="23" customFormat="1" x14ac:dyDescent="0.2"/>
    <row r="72" spans="1:5" s="23" customFormat="1" x14ac:dyDescent="0.2"/>
    <row r="73" spans="1:5" s="23" customFormat="1" x14ac:dyDescent="0.2"/>
    <row r="74" spans="1:5" s="23" customFormat="1" x14ac:dyDescent="0.2">
      <c r="A74" s="25"/>
      <c r="B74" s="26"/>
      <c r="C74" s="25"/>
      <c r="D74" s="25"/>
      <c r="E74" s="25"/>
    </row>
    <row r="75" spans="1:5" s="23" customFormat="1" x14ac:dyDescent="0.2">
      <c r="A75" s="25"/>
      <c r="B75" s="26"/>
      <c r="C75" s="25"/>
      <c r="D75" s="25"/>
      <c r="E75" s="25"/>
    </row>
    <row r="76" spans="1:5" s="23" customFormat="1" x14ac:dyDescent="0.2">
      <c r="A76" s="25"/>
      <c r="B76" s="26"/>
      <c r="C76" s="25"/>
      <c r="D76" s="25"/>
      <c r="E76" s="25"/>
    </row>
    <row r="77" spans="1:5" s="23" customFormat="1" x14ac:dyDescent="0.2">
      <c r="A77" s="25"/>
      <c r="B77" s="26"/>
      <c r="C77" s="25"/>
      <c r="D77" s="25"/>
      <c r="E77" s="25"/>
    </row>
    <row r="78" spans="1:5" s="23" customFormat="1" x14ac:dyDescent="0.2">
      <c r="A78" s="25"/>
      <c r="B78" s="26"/>
      <c r="C78" s="25"/>
      <c r="D78" s="25"/>
      <c r="E78" s="25"/>
    </row>
    <row r="79" spans="1:5" s="23" customFormat="1" x14ac:dyDescent="0.2">
      <c r="A79" s="25"/>
      <c r="B79" s="26"/>
      <c r="C79" s="25"/>
      <c r="D79" s="25"/>
      <c r="E79" s="25"/>
    </row>
    <row r="80" spans="1:5" s="23" customFormat="1" x14ac:dyDescent="0.2">
      <c r="A80" s="25"/>
      <c r="B80" s="26"/>
      <c r="C80" s="25"/>
      <c r="D80" s="25"/>
      <c r="E80" s="25"/>
    </row>
    <row r="81" spans="1:5" s="23" customFormat="1" x14ac:dyDescent="0.2">
      <c r="A81" s="25"/>
      <c r="B81" s="26"/>
      <c r="C81" s="25"/>
      <c r="D81" s="25"/>
      <c r="E81" s="25"/>
    </row>
    <row r="82" spans="1:5" s="23" customFormat="1" x14ac:dyDescent="0.2">
      <c r="A82" s="25"/>
      <c r="B82" s="26"/>
      <c r="C82" s="25"/>
      <c r="D82" s="25"/>
      <c r="E82" s="25"/>
    </row>
    <row r="83" spans="1:5" s="23" customFormat="1" x14ac:dyDescent="0.2">
      <c r="A83" s="25"/>
      <c r="B83" s="26"/>
      <c r="C83" s="25"/>
      <c r="D83" s="25"/>
      <c r="E83" s="25"/>
    </row>
    <row r="84" spans="1:5" s="23" customFormat="1" x14ac:dyDescent="0.2">
      <c r="A84" s="25"/>
      <c r="B84" s="26"/>
      <c r="C84" s="25"/>
      <c r="D84" s="25"/>
      <c r="E84" s="25"/>
    </row>
    <row r="85" spans="1:5" s="23" customFormat="1" x14ac:dyDescent="0.2">
      <c r="A85" s="25"/>
      <c r="B85" s="26"/>
      <c r="C85" s="25"/>
      <c r="D85" s="25"/>
      <c r="E85" s="25"/>
    </row>
    <row r="86" spans="1:5" s="23" customFormat="1" x14ac:dyDescent="0.2">
      <c r="A86" s="25"/>
      <c r="B86" s="26"/>
      <c r="C86" s="25"/>
      <c r="D86" s="25"/>
      <c r="E86" s="25"/>
    </row>
    <row r="87" spans="1:5" s="23" customFormat="1" x14ac:dyDescent="0.2">
      <c r="A87" s="25"/>
      <c r="B87" s="26"/>
      <c r="C87" s="25"/>
      <c r="D87" s="25"/>
      <c r="E87" s="25"/>
    </row>
    <row r="88" spans="1:5" s="23" customFormat="1" x14ac:dyDescent="0.2">
      <c r="A88" s="25"/>
      <c r="B88" s="26"/>
      <c r="C88" s="25"/>
      <c r="D88" s="25"/>
      <c r="E88" s="25"/>
    </row>
    <row r="122" spans="2:5" x14ac:dyDescent="0.2">
      <c r="B122" s="37"/>
      <c r="C122" s="37"/>
      <c r="D122" s="37"/>
      <c r="E122" s="37"/>
    </row>
    <row r="123" spans="2:5" x14ac:dyDescent="0.2">
      <c r="B123" s="37"/>
      <c r="C123" s="24"/>
      <c r="D123" s="24"/>
      <c r="E123" s="37"/>
    </row>
    <row r="124" spans="2:5" x14ac:dyDescent="0.2">
      <c r="B124" s="37"/>
      <c r="C124" s="37"/>
      <c r="D124" s="37"/>
      <c r="E124" s="37"/>
    </row>
    <row r="133" ht="17.25" customHeight="1" x14ac:dyDescent="0.2"/>
  </sheetData>
  <mergeCells count="3">
    <mergeCell ref="A1:I1"/>
    <mergeCell ref="B2:C2"/>
    <mergeCell ref="A3:C3"/>
  </mergeCells>
  <pageMargins left="1.1023622047244095" right="0.70866141732283472" top="0.19685039370078741" bottom="0.1968503937007874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Vegetacia</vt:lpstr>
      <vt:lpstr>Vegetacia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Novotny</dc:creator>
  <cp:lastModifiedBy>admin</cp:lastModifiedBy>
  <cp:lastPrinted>2019-12-04T18:19:00Z</cp:lastPrinted>
  <dcterms:created xsi:type="dcterms:W3CDTF">2008-04-27T08:07:59Z</dcterms:created>
  <dcterms:modified xsi:type="dcterms:W3CDTF">2019-12-04T18:22:07Z</dcterms:modified>
</cp:coreProperties>
</file>