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.sharepoint.com/sites/RVO1/Shared Documents/Upratovacie služby/SP akt/"/>
    </mc:Choice>
  </mc:AlternateContent>
  <xr:revisionPtr revIDLastSave="332" documentId="13_ncr:1_{43C22AF8-E1B6-45F4-9DAF-8E51DAF962FE}" xr6:coauthVersionLast="47" xr6:coauthVersionMax="47" xr10:uidLastSave="{E9537406-A361-41A5-936A-44CF60894F58}"/>
  <bookViews>
    <workbookView xWindow="-108" yWindow="-108" windowWidth="30936" windowHeight="16896" firstSheet="1" activeTab="1" xr2:uid="{89D3062A-3E8C-407B-A16C-9D1AA0F43D56}"/>
  </bookViews>
  <sheets>
    <sheet name="Zákl. nastavenie" sheetId="7" state="hidden" r:id="rId1"/>
    <sheet name="Cenová ponuka" sheetId="15" r:id="rId2"/>
    <sheet name="Rozbor cenovej ponuky" sheetId="12" r:id="rId3"/>
    <sheet name="Návrh na plnenie kritérií" sheetId="8" r:id="rId4"/>
    <sheet name="Koneční užívatelia výhod" sheetId="5" r:id="rId5"/>
    <sheet name="Medzinárodné sankcie" sheetId="2" r:id="rId6"/>
  </sheets>
  <definedNames>
    <definedName name="_xlnm.Print_Area" localSheetId="4">'Koneční užívatelia výhod'!$B$1:$B$28</definedName>
    <definedName name="_xlnm.Print_Area" localSheetId="5">'Medzinárodné sankcie'!$B$1:$B$22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0" i="15" l="1"/>
  <c r="K30" i="15" s="1"/>
  <c r="L30" i="15" s="1"/>
  <c r="I29" i="15"/>
  <c r="J29" i="15" s="1"/>
  <c r="C11" i="12" s="1"/>
  <c r="I28" i="15"/>
  <c r="K28" i="15" s="1"/>
  <c r="L28" i="15" s="1"/>
  <c r="I27" i="15"/>
  <c r="J27" i="15" s="1"/>
  <c r="C9" i="12" s="1"/>
  <c r="D26" i="15"/>
  <c r="I26" i="15" s="1"/>
  <c r="C26" i="15"/>
  <c r="I22" i="15"/>
  <c r="K22" i="15" s="1"/>
  <c r="L22" i="15" s="1"/>
  <c r="I21" i="15"/>
  <c r="J21" i="15" s="1"/>
  <c r="C21" i="15"/>
  <c r="I20" i="15"/>
  <c r="K20" i="15" s="1"/>
  <c r="L20" i="15" s="1"/>
  <c r="C20" i="15"/>
  <c r="I19" i="15"/>
  <c r="K19" i="15" s="1"/>
  <c r="L19" i="15" s="1"/>
  <c r="I18" i="15"/>
  <c r="J18" i="15" s="1"/>
  <c r="I17" i="15"/>
  <c r="K17" i="15" s="1"/>
  <c r="L17" i="15" s="1"/>
  <c r="C17" i="15"/>
  <c r="I16" i="15"/>
  <c r="J16" i="15" s="1"/>
  <c r="C16" i="15"/>
  <c r="I15" i="15"/>
  <c r="K15" i="15" s="1"/>
  <c r="L15" i="15" s="1"/>
  <c r="I14" i="15"/>
  <c r="J14" i="15" s="1"/>
  <c r="I13" i="15"/>
  <c r="K13" i="15" s="1"/>
  <c r="L13" i="15" s="1"/>
  <c r="I12" i="15"/>
  <c r="J12" i="15" s="1"/>
  <c r="I11" i="15"/>
  <c r="K11" i="15" s="1"/>
  <c r="L11" i="15" s="1"/>
  <c r="D10" i="15"/>
  <c r="I10" i="15" s="1"/>
  <c r="I9" i="15"/>
  <c r="K9" i="15" s="1"/>
  <c r="L9" i="15" s="1"/>
  <c r="I8" i="15"/>
  <c r="K8" i="15" s="1"/>
  <c r="L8" i="15" s="1"/>
  <c r="D7" i="15"/>
  <c r="I7" i="15" s="1"/>
  <c r="D6" i="15"/>
  <c r="I6" i="15" s="1"/>
  <c r="C6" i="15"/>
  <c r="K27" i="15" l="1"/>
  <c r="L27" i="15" s="1"/>
  <c r="K16" i="15"/>
  <c r="L16" i="15" s="1"/>
  <c r="I23" i="15"/>
  <c r="K12" i="15"/>
  <c r="L12" i="15" s="1"/>
  <c r="J28" i="15"/>
  <c r="C10" i="12" s="1"/>
  <c r="K21" i="15"/>
  <c r="L21" i="15" s="1"/>
  <c r="K14" i="15"/>
  <c r="L14" i="15" s="1"/>
  <c r="K29" i="15"/>
  <c r="L29" i="15" s="1"/>
  <c r="K7" i="15"/>
  <c r="L7" i="15" s="1"/>
  <c r="J7" i="15"/>
  <c r="J10" i="15"/>
  <c r="K10" i="15"/>
  <c r="L10" i="15" s="1"/>
  <c r="K6" i="15"/>
  <c r="J6" i="15"/>
  <c r="K26" i="15"/>
  <c r="J26" i="15"/>
  <c r="C8" i="12" s="1"/>
  <c r="J9" i="15"/>
  <c r="K18" i="15"/>
  <c r="L18" i="15" s="1"/>
  <c r="J20" i="15"/>
  <c r="J22" i="15"/>
  <c r="J30" i="15"/>
  <c r="C12" i="12" s="1"/>
  <c r="J11" i="15"/>
  <c r="J13" i="15"/>
  <c r="J15" i="15"/>
  <c r="J17" i="15"/>
  <c r="J19" i="15"/>
  <c r="J8" i="15"/>
  <c r="J23" i="15" l="1"/>
  <c r="C5" i="12"/>
  <c r="K31" i="15"/>
  <c r="L26" i="15"/>
  <c r="L6" i="15"/>
  <c r="K23" i="15"/>
  <c r="L23" i="15" s="1"/>
  <c r="K33" i="15" l="1"/>
  <c r="D22" i="8" s="1"/>
  <c r="L31" i="15"/>
  <c r="L33" i="15" s="1"/>
  <c r="E35" i="7" l="1"/>
  <c r="E36" i="7"/>
  <c r="E50" i="7"/>
  <c r="E49" i="7"/>
  <c r="E37" i="7"/>
  <c r="G34" i="7"/>
  <c r="H34" i="7" s="1"/>
  <c r="C35" i="8"/>
  <c r="C28" i="8"/>
  <c r="E20" i="8"/>
  <c r="F20" i="8"/>
  <c r="F35" i="8"/>
  <c r="E35" i="8"/>
  <c r="B35" i="8"/>
  <c r="C33" i="8"/>
  <c r="F28" i="8"/>
  <c r="E28" i="8"/>
  <c r="B28" i="8"/>
  <c r="C26" i="8"/>
  <c r="C18" i="8"/>
  <c r="K9" i="7"/>
  <c r="K10" i="7"/>
  <c r="K11" i="7"/>
  <c r="K12" i="7"/>
  <c r="K13" i="7"/>
  <c r="K5" i="7"/>
  <c r="K6" i="7"/>
  <c r="K7" i="7"/>
  <c r="K8" i="7"/>
  <c r="I36" i="7"/>
  <c r="I50" i="7"/>
  <c r="I51" i="7"/>
  <c r="I52" i="7"/>
  <c r="I53" i="7"/>
  <c r="I54" i="7"/>
  <c r="I55" i="7"/>
  <c r="I56" i="7"/>
  <c r="I57" i="7"/>
  <c r="I58" i="7"/>
  <c r="I49" i="7"/>
  <c r="G50" i="7"/>
  <c r="G51" i="7"/>
  <c r="G52" i="7"/>
  <c r="G53" i="7"/>
  <c r="G54" i="7"/>
  <c r="G55" i="7"/>
  <c r="G56" i="7"/>
  <c r="G57" i="7"/>
  <c r="G58" i="7"/>
  <c r="G49" i="7"/>
  <c r="I35" i="7"/>
  <c r="I37" i="7"/>
  <c r="I38" i="7"/>
  <c r="I39" i="7"/>
  <c r="I40" i="7"/>
  <c r="I41" i="7"/>
  <c r="I42" i="7"/>
  <c r="I43" i="7"/>
  <c r="I34" i="7"/>
  <c r="J34" i="7" s="1"/>
  <c r="G35" i="7"/>
  <c r="G36" i="7"/>
  <c r="G37" i="7"/>
  <c r="G38" i="7"/>
  <c r="G39" i="7"/>
  <c r="G40" i="7"/>
  <c r="G41" i="7"/>
  <c r="G42" i="7"/>
  <c r="G43" i="7"/>
  <c r="E51" i="7"/>
  <c r="E52" i="7"/>
  <c r="E53" i="7"/>
  <c r="E54" i="7"/>
  <c r="E55" i="7"/>
  <c r="E56" i="7"/>
  <c r="E57" i="7"/>
  <c r="E58" i="7"/>
  <c r="E38" i="7"/>
  <c r="E39" i="7"/>
  <c r="E40" i="7"/>
  <c r="E41" i="7"/>
  <c r="E42" i="7"/>
  <c r="E43" i="7"/>
  <c r="E34" i="7"/>
  <c r="H4" i="7"/>
  <c r="K4" i="7" s="1"/>
  <c r="C19" i="7" a="1"/>
  <c r="C19" i="7" s="1"/>
  <c r="C34" i="7" s="1" a="1"/>
  <c r="C34" i="7" s="1"/>
  <c r="C49" i="7" s="1" a="1"/>
  <c r="C49" i="7" s="1"/>
  <c r="B19" i="7" a="1"/>
  <c r="B19" i="7" s="1"/>
  <c r="B34" i="7" s="1" a="1"/>
  <c r="B34" i="7" s="1"/>
  <c r="B49" i="7" s="1" a="1"/>
  <c r="B49" i="7" s="1"/>
  <c r="F31" i="8" l="1"/>
  <c r="F38" i="8"/>
  <c r="J49" i="7"/>
  <c r="F34" i="7"/>
  <c r="F49" i="7"/>
  <c r="E22" i="8" l="1"/>
  <c r="H14" i="7"/>
  <c r="I7" i="7" s="1"/>
  <c r="H49" i="7"/>
  <c r="F22" i="8" l="1"/>
  <c r="F23" i="8" s="1"/>
  <c r="C24" i="8" s="1"/>
  <c r="F41" i="8" s="1"/>
  <c r="J52" i="7"/>
  <c r="J7" i="7"/>
  <c r="H52" i="7"/>
  <c r="H22" i="7"/>
  <c r="F22" i="7"/>
  <c r="J37" i="7"/>
  <c r="H37" i="7"/>
  <c r="F52" i="7"/>
  <c r="F37" i="7"/>
  <c r="J22" i="7"/>
  <c r="I10" i="7"/>
  <c r="I11" i="7"/>
  <c r="I13" i="7"/>
  <c r="I5" i="7"/>
  <c r="I9" i="7"/>
  <c r="I6" i="7"/>
  <c r="I4" i="7"/>
  <c r="I12" i="7"/>
  <c r="I8" i="7"/>
  <c r="J8" i="7" l="1"/>
  <c r="J24" i="7"/>
  <c r="F24" i="7"/>
  <c r="J9" i="7"/>
  <c r="H54" i="7"/>
  <c r="H24" i="7"/>
  <c r="F54" i="7"/>
  <c r="J54" i="7"/>
  <c r="H39" i="7"/>
  <c r="F39" i="7"/>
  <c r="J39" i="7"/>
  <c r="F40" i="7"/>
  <c r="H25" i="7"/>
  <c r="F55" i="7"/>
  <c r="J55" i="7"/>
  <c r="J25" i="7"/>
  <c r="F25" i="7"/>
  <c r="J10" i="7"/>
  <c r="H55" i="7"/>
  <c r="J40" i="7"/>
  <c r="H40" i="7"/>
  <c r="J51" i="7"/>
  <c r="H51" i="7"/>
  <c r="H21" i="7"/>
  <c r="F21" i="7"/>
  <c r="F51" i="7"/>
  <c r="H36" i="7"/>
  <c r="J36" i="7"/>
  <c r="F36" i="7"/>
  <c r="J21" i="7"/>
  <c r="J6" i="7"/>
  <c r="H41" i="7"/>
  <c r="F26" i="7"/>
  <c r="H26" i="7"/>
  <c r="F41" i="7"/>
  <c r="J11" i="7"/>
  <c r="J26" i="7"/>
  <c r="H56" i="7"/>
  <c r="F56" i="7"/>
  <c r="J41" i="7"/>
  <c r="J56" i="7"/>
  <c r="J23" i="7"/>
  <c r="J38" i="7"/>
  <c r="H38" i="7"/>
  <c r="J53" i="7"/>
  <c r="F23" i="7"/>
  <c r="H53" i="7"/>
  <c r="H23" i="7"/>
  <c r="F53" i="7"/>
  <c r="F38" i="7"/>
  <c r="J42" i="7"/>
  <c r="H42" i="7"/>
  <c r="F42" i="7"/>
  <c r="J27" i="7"/>
  <c r="F27" i="7"/>
  <c r="J57" i="7"/>
  <c r="H57" i="7"/>
  <c r="H27" i="7"/>
  <c r="F57" i="7"/>
  <c r="J12" i="7"/>
  <c r="H50" i="7"/>
  <c r="H35" i="7"/>
  <c r="F50" i="7"/>
  <c r="J35" i="7"/>
  <c r="J5" i="7"/>
  <c r="J50" i="7"/>
  <c r="H20" i="7"/>
  <c r="F20" i="7"/>
  <c r="F35" i="7"/>
  <c r="J20" i="7"/>
  <c r="F58" i="7"/>
  <c r="J13" i="7"/>
  <c r="J43" i="7"/>
  <c r="F43" i="7"/>
  <c r="H43" i="7"/>
  <c r="J28" i="7"/>
  <c r="J58" i="7"/>
  <c r="H58" i="7"/>
  <c r="H28" i="7"/>
  <c r="F28" i="7"/>
  <c r="H19" i="7"/>
  <c r="J4" i="7"/>
  <c r="J19" i="7"/>
  <c r="F19" i="7"/>
  <c r="I14" i="7"/>
  <c r="D19" i="7" a="1"/>
  <c r="D19" i="7" s="1"/>
  <c r="D29" i="7" s="1"/>
  <c r="J29" i="7" l="1"/>
  <c r="H29" i="7"/>
  <c r="J44" i="7"/>
  <c r="H44" i="7"/>
  <c r="J59" i="7"/>
  <c r="F59" i="7"/>
  <c r="H59" i="7"/>
  <c r="F29" i="7"/>
  <c r="F44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Pudiš Ivan, Mgr.</author>
  </authors>
  <commentList>
    <comment ref="D22" authorId="0" shapeId="0" xr:uid="{D6C444AA-481A-4F32-8ADD-554EDB5ECB91}">
      <text>
        <r>
          <rPr>
            <sz val="9"/>
            <color indexed="81"/>
            <rFont val="Segoe UI"/>
            <family val="2"/>
            <charset val="238"/>
          </rPr>
          <t>hodnota v tejto bunke je automaticky doplnená excelom na základe cien vyplnených v hárku "Cenová ponuka"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<sst xmlns="http://schemas.openxmlformats.org/spreadsheetml/2006/main" count="288" uniqueCount="174">
  <si>
    <t>Základné nastavenie súťaže</t>
  </si>
  <si>
    <t>Por. č.</t>
  </si>
  <si>
    <t>názov kritéria</t>
  </si>
  <si>
    <t>jednotka</t>
  </si>
  <si>
    <t>Max hodnota</t>
  </si>
  <si>
    <t>Min hodnota</t>
  </si>
  <si>
    <t xml:space="preserve">Logika kritéria </t>
  </si>
  <si>
    <t>Koľko sme ochotní priplatiť si za najlepšiu hodnotu?</t>
  </si>
  <si>
    <t>Váha kritériá (%)</t>
  </si>
  <si>
    <t>Hodnota MVP</t>
  </si>
  <si>
    <t>Hodnota jednotky</t>
  </si>
  <si>
    <t>čím menej, tým lepšie</t>
  </si>
  <si>
    <t>...</t>
  </si>
  <si>
    <t>spolu</t>
  </si>
  <si>
    <t>Spôsob hodnotenia - bodový</t>
  </si>
  <si>
    <t>Váha (%)</t>
  </si>
  <si>
    <t>Ponuka A</t>
  </si>
  <si>
    <t>Ponuka B</t>
  </si>
  <si>
    <t>Ponuka C</t>
  </si>
  <si>
    <t>Ponuka A - Body</t>
  </si>
  <si>
    <t>Ponuka B - Body</t>
  </si>
  <si>
    <t>C - EUR</t>
  </si>
  <si>
    <t>Spolu</t>
  </si>
  <si>
    <t>Spôsob hodnotenia - peňažný bonusový</t>
  </si>
  <si>
    <t>Ponuka A - EUR</t>
  </si>
  <si>
    <t>Ponuka B - EUR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</si>
  <si>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</si>
  <si>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</si>
  <si>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</si>
  <si>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</si>
  <si>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</si>
  <si>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</si>
  <si>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</si>
  <si>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</si>
  <si>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</si>
  <si>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</si>
  <si>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</si>
  <si>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Logika kritéria</t>
  </si>
  <si>
    <t>Názov položky</t>
  </si>
  <si>
    <t>Počet kusov</t>
  </si>
  <si>
    <t>Suma v EUR bez DPH</t>
  </si>
  <si>
    <t>Výška DPH</t>
  </si>
  <si>
    <t>Suma v EUR s DPH na všetky kusy</t>
  </si>
  <si>
    <t>Popis kritéria</t>
  </si>
  <si>
    <t>Ponuka uchádzača</t>
  </si>
  <si>
    <t>V ...</t>
  </si>
  <si>
    <t xml:space="preserve">Dátum: 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</si>
  <si>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</si>
  <si>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</si>
  <si>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</si>
  <si>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</si>
  <si>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</si>
  <si>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</si>
  <si>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</si>
  <si>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</si>
  <si>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</si>
  <si>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</si>
  <si>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</si>
  <si>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</si>
  <si>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</si>
  <si>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</si>
  <si>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</si>
  <si>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</si>
  <si>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</si>
  <si>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</si>
  <si>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</si>
  <si>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</si>
  <si>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</si>
  <si>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</si>
  <si>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</si>
  <si>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</si>
  <si>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</si>
  <si>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</si>
  <si>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</si>
  <si>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</si>
  <si>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Spôsob hodnotenia - peňažný malusový</t>
  </si>
  <si>
    <t>EUR s DPH</t>
  </si>
  <si>
    <t>Cena za celý predmet zákazky</t>
  </si>
  <si>
    <t>Peňažný bonus na účely vyhodnotenia ponúk:</t>
  </si>
  <si>
    <t>Logika kritéria:</t>
  </si>
  <si>
    <t>Minimálna hodnota:</t>
  </si>
  <si>
    <t>Maximálna hodnota:</t>
  </si>
  <si>
    <t>Maximálny finančný bonus na účely hodnotenia ponúk</t>
  </si>
  <si>
    <t>Celková cena na účely hodnotenia ponúk:</t>
  </si>
  <si>
    <t>žiadna</t>
  </si>
  <si>
    <t>Minimálna hodnota kritéria</t>
  </si>
  <si>
    <t>Maximálna hodnota kritéria</t>
  </si>
  <si>
    <t>čím viac, tým lepšie</t>
  </si>
  <si>
    <t>Cena za predmet zákazky</t>
  </si>
  <si>
    <t>Garantovaná hodinová mzda pracovníka</t>
  </si>
  <si>
    <t>Skúsenosti zodpovedného zástupcu poskytovateľa služieb</t>
  </si>
  <si>
    <t>výška</t>
  </si>
  <si>
    <t>počet</t>
  </si>
  <si>
    <t>Uchádzač uvedie garantovanú hodinovú mzdu, ktorá bude počas trvania zákazky vyplácaná pracovníkom podieľajúcim sa na plnení zákazky. Podrobne pozri časť C súťažnýc podkladov.</t>
  </si>
  <si>
    <t>Uchádzač uvedie počet bodov získaných v dotazníkoch spokojnosti. Podrobne pozri časť C súťažných podkladov.</t>
  </si>
  <si>
    <r>
      <t xml:space="preserve"> 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 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</si>
  <si>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Druh podlahy</t>
  </si>
  <si>
    <t>Cena spolu bez DPH za 1 mesiac</t>
  </si>
  <si>
    <t>Cena spolu s DPH za 1 mesiac</t>
  </si>
  <si>
    <t>Cena spolu za 48 mesiacov bez DPH</t>
  </si>
  <si>
    <t>Cena spolu za 48 mesiacov s DPH</t>
  </si>
  <si>
    <t>m2</t>
  </si>
  <si>
    <t>1x týždenne</t>
  </si>
  <si>
    <t>Zábradlia (umývanie)</t>
  </si>
  <si>
    <t>Kovová konštrukcia, madlá</t>
  </si>
  <si>
    <t>Kuchynky (vysávanie, umývanie)</t>
  </si>
  <si>
    <t>1x denne</t>
  </si>
  <si>
    <t>súbor</t>
  </si>
  <si>
    <t>Sklady (vysávanie, umývanie)</t>
  </si>
  <si>
    <t>1x mesačne</t>
  </si>
  <si>
    <t>Zasadacie miestnosti (vysávanie, umývanie)</t>
  </si>
  <si>
    <t>ks</t>
  </si>
  <si>
    <t>Parapety, skrine do 1,5m  a nad 1,5m a vyššie (utieranie prachu)</t>
  </si>
  <si>
    <t>Dezinfekcia kľučiek obojstranne</t>
  </si>
  <si>
    <r>
      <t xml:space="preserve">MIMORIADNE upratovacie služby - </t>
    </r>
    <r>
      <rPr>
        <sz val="14"/>
        <color theme="1"/>
        <rFont val="Calibri"/>
        <family val="2"/>
      </rPr>
      <t>fakturované na základe objednávky</t>
    </r>
  </si>
  <si>
    <t>Cena spolu s DPH za 1 rok</t>
  </si>
  <si>
    <t>Okná, rámy so sklenou výplňou obojstranne (čistenie, leštenie vrátane medziokenia)</t>
  </si>
  <si>
    <t>1x ročne</t>
  </si>
  <si>
    <t>Tepovanie čalúneného nábytku (jedno miesto na sedenie =1ks)</t>
  </si>
  <si>
    <t>Čistenie kuchynských liniek (vonkajšie, vnútorné)</t>
  </si>
  <si>
    <t>Čistenie/utieranie dverí vrátane rámov</t>
  </si>
  <si>
    <t>Čistenie chladničiek (vonkajšie, vnútorné)</t>
  </si>
  <si>
    <t>Vysvetlivky:</t>
  </si>
  <si>
    <r>
      <rPr>
        <b/>
        <sz val="12"/>
        <color theme="1"/>
        <rFont val="Calibri"/>
        <family val="2"/>
      </rPr>
      <t xml:space="preserve">Aktuálny počet – </t>
    </r>
    <r>
      <rPr>
        <sz val="12"/>
        <color theme="1"/>
        <rFont val="Calibri"/>
        <family val="2"/>
      </rPr>
      <t>vyjadruje presný počet vo vzťahu k položkám v dobe prípravy súťažných podkladov, avšak je potrebné, aby dodávateľ rátal aj s možnou zmenou (nárastom) počtu v čase. ktorá by predstavovala vedľajší efekt príchodu nových zamestnancov verejného obstarávateľa. Odhadovaný možný nárast počas trvania zmluvného vzťahu (48 mesiacov) je do 10% z pôvodného počtu pri položkách v tabuľke.</t>
    </r>
  </si>
  <si>
    <r>
      <rPr>
        <b/>
        <sz val="12"/>
        <color theme="1"/>
        <rFont val="Calibri"/>
        <family val="2"/>
      </rPr>
      <t xml:space="preserve">Odhadovaný počet </t>
    </r>
    <r>
      <rPr>
        <sz val="12"/>
        <color theme="1"/>
        <rFont val="Calibri"/>
        <family val="2"/>
      </rPr>
      <t>- počet sa môže  počas zmluvného vzťahu meníť (znižovať alebo zvyšovať) v závislosti od skutočnej potreby</t>
    </r>
  </si>
  <si>
    <t>1 mesiac = 30 dní
1 mesiac = 4 týždne
1 štvrťrok = 3 mesiace
1 rok = 12 mesiacov
4 roky = 48 mesiacov</t>
  </si>
  <si>
    <t>Som platcom DPH</t>
  </si>
  <si>
    <t>Cena práce</t>
  </si>
  <si>
    <t>Iné náklady</t>
  </si>
  <si>
    <t>Počet zamestnancov poskytujúcich služby (veľkosť upratovacieho tímu bez zodpovedného zástupcu)</t>
  </si>
  <si>
    <t>ZÁKLADNÉ upratovacie služby - fakturované pravidelne mesačne (bez potreby vystaviť objednávku)</t>
  </si>
  <si>
    <r>
      <t>Cena prostriedkov použitých na poskytnutie služieb</t>
    </r>
    <r>
      <rPr>
        <sz val="12"/>
        <color theme="1"/>
        <rFont val="Calibri"/>
        <family val="2"/>
      </rPr>
      <t xml:space="preserve"> (čistiace prostriedky, nástroje atď.)</t>
    </r>
  </si>
  <si>
    <t>Kritérium K1:</t>
  </si>
  <si>
    <t>Kritérium K2:</t>
  </si>
  <si>
    <t>Kritérium K3:</t>
  </si>
  <si>
    <t>Cenová ponuka:</t>
  </si>
  <si>
    <t>Dlažba</t>
  </si>
  <si>
    <t>Ceny uvedené uchádzačom musia zahŕňať komplexné náklady na služby vrátane nákladov na spotrebný tovar, príslušenstvo, technické vybavenie, hygienické potreby určené na pravidelné dopĺňanie soc. zariadení a kuchyniek, nákladov práce, dopravy, nákladov na osobné ochranné pracovné prostriedky a jednotné ošatenie personálu vyhovujúce hygienickým a estetickým kritériám a ostatných nákladov nevyhnutných na uskutočnenie služby uchádzača v požadovanom rozsahu.</t>
  </si>
  <si>
    <t>Príloha č. 2d - Návrh na plnenie kritérií a cenová ponuka v zákazke "Interiérové upratovacie služby - Časť č. 4 - Skupina 4"</t>
  </si>
  <si>
    <t>Cenová ponuka - Interiérové upratovacie služby - Časť č. 4 - Skupina 4</t>
  </si>
  <si>
    <t>Budovy zaradené do Skupiny 4 -  Gunduličova 10, Listová 4, Medená 2, Hálková 11, Saratovská 30, Haanova 10, Obchodná 29, Kramerov lom, Stavbárska 42, Jašíkova 2 (Kerametal)</t>
  </si>
  <si>
    <r>
      <t xml:space="preserve">ZAKLADNÉ upratovacie služby </t>
    </r>
    <r>
      <rPr>
        <sz val="12"/>
        <color theme="1"/>
        <rFont val="Calibri"/>
        <family val="2"/>
        <scheme val="minor"/>
      </rPr>
      <t>- fakturované pravidelne mesačne (bez potreby vystaviť objednávku)</t>
    </r>
  </si>
  <si>
    <t xml:space="preserve">*Aktuálny počet </t>
  </si>
  <si>
    <r>
      <t xml:space="preserve">Plocha/m2; ks, hod. </t>
    </r>
    <r>
      <rPr>
        <sz val="12"/>
        <color theme="1"/>
        <rFont val="Calibri"/>
        <family val="2"/>
      </rPr>
      <t>(predpokladné množstvo)</t>
    </r>
  </si>
  <si>
    <t xml:space="preserve">Merná jednotka </t>
  </si>
  <si>
    <t>Frekvencia</t>
  </si>
  <si>
    <t>Jednotková cena  bez DPH</t>
  </si>
  <si>
    <t>Cena spolu s DPH na 1 mesiac</t>
  </si>
  <si>
    <t>Kancelárie (umývanie)</t>
  </si>
  <si>
    <t>Gumolit, kachličky, parkety</t>
  </si>
  <si>
    <t>3x týždenne</t>
  </si>
  <si>
    <t>Chodby (vysávanie, umývanie)</t>
  </si>
  <si>
    <t>Schodiská (vysávanie, umývanie)</t>
  </si>
  <si>
    <t>Dlažba, linoleum</t>
  </si>
  <si>
    <t>Sociálne zariadenia + sprchy (vysávanie, umývanie)</t>
  </si>
  <si>
    <t>Výťahy, vrátane zrkadiel (vysávanie, umývanie)</t>
  </si>
  <si>
    <t>Parkety laminátové</t>
  </si>
  <si>
    <t>Zrkadlá bežné, samostatné (čistenie/leštenie)</t>
  </si>
  <si>
    <t>***Stoly – utieranie prachu</t>
  </si>
  <si>
    <t xml:space="preserve">  </t>
  </si>
  <si>
    <t>Vrátnica umytie/vysávanie podlahy, umytie sklených výplní</t>
  </si>
  <si>
    <t>Dlažba, laminat.parkety, linoleum</t>
  </si>
  <si>
    <t>Sanita (obkladačky, vypínače) max. do 250 m2</t>
  </si>
  <si>
    <t>****Smetné koše,(vynášanie odpadkov do  kontajnerov)</t>
  </si>
  <si>
    <t>Dodávanie a dopĺňanie spotrebného materiálu -hygienických potrieb na toaletách a v kuchynkách (tekuté mydlá, dezinfekcia na ruky,papierové utierky, látkové uteráky (rolky, ks), toal. papier, zásobníky, sáčky na dámsku hygienu, tablety do pisoárov) - definované v prílohe č. 2 - Hygienické potreby</t>
  </si>
  <si>
    <r>
      <t xml:space="preserve">MIMORIADNE upratovacie služby </t>
    </r>
    <r>
      <rPr>
        <sz val="12"/>
        <color theme="1"/>
        <rFont val="Calibri"/>
        <family val="2"/>
        <scheme val="minor"/>
      </rPr>
      <t>- fakturované na základe objednávky</t>
    </r>
  </si>
  <si>
    <r>
      <t xml:space="preserve">Plocha </t>
    </r>
    <r>
      <rPr>
        <b/>
        <sz val="12"/>
        <color theme="1"/>
        <rFont val="Calibri (Text)"/>
        <charset val="238"/>
      </rPr>
      <t xml:space="preserve"> (m</t>
    </r>
    <r>
      <rPr>
        <b/>
        <vertAlign val="superscript"/>
        <sz val="12"/>
        <color theme="1"/>
        <rFont val="Calibri"/>
        <family val="2"/>
        <charset val="238"/>
        <scheme val="minor"/>
      </rPr>
      <t>2</t>
    </r>
    <r>
      <rPr>
        <b/>
        <sz val="12"/>
        <color theme="1"/>
        <rFont val="Calibri (Text)"/>
        <charset val="238"/>
      </rPr>
      <t>; ks)</t>
    </r>
  </si>
  <si>
    <t>Jednotková cena bez DPH</t>
  </si>
  <si>
    <t>Cena spolu bez DPH za 12 mesiacov</t>
  </si>
  <si>
    <t>Cena spolu s DPH na 12 mesiacov</t>
  </si>
  <si>
    <t>1x štvrťročne</t>
  </si>
  <si>
    <t>Skupina 4 spolu</t>
  </si>
  <si>
    <r>
      <t>*</t>
    </r>
    <r>
      <rPr>
        <sz val="12"/>
        <color theme="1"/>
        <rFont val="Calibri"/>
        <family val="2"/>
      </rPr>
      <t xml:space="preserve">položky sú bližšie špecifikované samostatne v rámci </t>
    </r>
    <r>
      <rPr>
        <b/>
        <sz val="12"/>
        <color theme="1"/>
        <rFont val="Calibri"/>
        <family val="2"/>
      </rPr>
      <t xml:space="preserve"> Opisu predmetu zákazky </t>
    </r>
    <r>
      <rPr>
        <sz val="12"/>
        <color theme="1"/>
        <rFont val="Calibri"/>
        <family val="2"/>
      </rPr>
      <t xml:space="preserve">a ich frekvencia a bližšia špecifikácia sa nachádza  samostatne ako príloha </t>
    </r>
    <r>
      <rPr>
        <b/>
        <sz val="12"/>
        <color theme="1"/>
        <rFont val="Calibri"/>
        <family val="2"/>
      </rPr>
      <t>Špecifikácia predmetu</t>
    </r>
    <r>
      <rPr>
        <sz val="12"/>
        <color theme="1"/>
        <rFont val="Calibri"/>
        <family val="2"/>
      </rPr>
      <t xml:space="preserve"> </t>
    </r>
    <r>
      <rPr>
        <b/>
        <sz val="12"/>
        <color theme="1"/>
        <rFont val="Calibri"/>
        <family val="2"/>
      </rPr>
      <t>zákazky Skupina 4</t>
    </r>
  </si>
  <si>
    <t>Rozbor cenovej ponuky - Interiérové upratovacie služby - Časť č. 4 - Skupina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</si>
</sst>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00"/>
    <numFmt numFmtId="165" formatCode="#,##0.00_ ;[Red]\-#,##0.00\ "/>
  </numFmts>
  <fonts count="35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sz val="16"/>
      <color theme="0"/>
      <name val="Calibri Light"/>
      <family val="2"/>
      <charset val="238"/>
      <scheme val="maj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4"/>
      <color theme="1"/>
      <name val="Calibri"/>
      <family val="2"/>
    </font>
    <font>
      <sz val="14"/>
      <color theme="1"/>
      <name val="Calibri"/>
      <family val="2"/>
    </font>
    <font>
      <sz val="16"/>
      <color theme="4" tint="0.79998168889431442"/>
      <name val="Calibri"/>
      <family val="2"/>
    </font>
    <font>
      <b/>
      <i/>
      <sz val="12"/>
      <color theme="1"/>
      <name val="Calibri"/>
      <family val="2"/>
    </font>
    <font>
      <b/>
      <sz val="12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 (Text)"/>
      <charset val="238"/>
    </font>
    <font>
      <b/>
      <vertAlign val="superscript"/>
      <sz val="12"/>
      <color theme="1"/>
      <name val="Calibri"/>
      <family val="2"/>
      <charset val="238"/>
      <scheme val="minor"/>
    </font>
    <font>
      <sz val="16"/>
      <color theme="4"/>
      <name val="Calibri Light"/>
      <family val="2"/>
      <scheme val="major"/>
    </font>
    <font>
      <b/>
      <sz val="16"/>
      <color theme="4"/>
      <name val="Calibri Light"/>
      <family val="2"/>
      <scheme val="major"/>
    </font>
    <font>
      <b/>
      <sz val="16"/>
      <color theme="4" tint="0.79998168889431442"/>
      <name val="Calibri Light"/>
      <family val="2"/>
      <scheme val="major"/>
    </font>
    <font>
      <sz val="9"/>
      <color indexed="81"/>
      <name val="Segoe UI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A48F"/>
        <bgColor indexed="64"/>
      </patternFill>
    </fill>
    <fill>
      <patternFill patternType="solid">
        <fgColor theme="7" tint="0.59999389629810485"/>
        <bgColor indexed="64"/>
      </patternFill>
    </fill>
  </fills>
  <borders count="8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/>
      <right/>
      <top/>
      <bottom style="thin">
        <color rgb="FFB2B2B2"/>
      </bottom>
      <diagonal/>
    </border>
    <border>
      <left style="medium">
        <color indexed="64"/>
      </left>
      <right/>
      <top/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/>
      <diagonal/>
    </border>
    <border>
      <left/>
      <right/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/>
      <diagonal/>
    </border>
    <border>
      <left style="thin">
        <color rgb="FFB2B2B2"/>
      </left>
      <right style="medium">
        <color indexed="64"/>
      </right>
      <top/>
      <bottom/>
      <diagonal/>
    </border>
    <border>
      <left style="thin">
        <color rgb="FFB2B2B2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2" fillId="2" borderId="2" applyNumberFormat="0" applyFont="0" applyAlignment="0" applyProtection="0"/>
    <xf numFmtId="0" fontId="2" fillId="3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</cellStyleXfs>
  <cellXfs count="309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 applyAlignment="1">
      <alignment horizontal="justify" vertical="center"/>
    </xf>
    <xf numFmtId="0" fontId="6" fillId="0" borderId="63" xfId="0" applyFont="1" applyBorder="1" applyAlignment="1">
      <alignment horizontal="center" vertical="center"/>
    </xf>
    <xf numFmtId="0" fontId="7" fillId="0" borderId="44" xfId="0" applyFont="1" applyBorder="1" applyAlignment="1">
      <alignment horizontal="justify" vertical="center"/>
    </xf>
    <xf numFmtId="0" fontId="0" fillId="0" borderId="44" xfId="0" applyBorder="1" applyAlignment="1">
      <alignment horizontal="left" vertical="center" wrapText="1" indent="1"/>
    </xf>
    <xf numFmtId="0" fontId="7" fillId="0" borderId="44" xfId="0" applyFont="1" applyBorder="1" applyAlignment="1">
      <alignment horizontal="left" vertical="center" wrapText="1" indent="1"/>
    </xf>
    <xf numFmtId="0" fontId="3" fillId="0" borderId="44" xfId="0" applyFont="1" applyBorder="1" applyAlignment="1">
      <alignment horizontal="center" vertical="center" wrapText="1"/>
    </xf>
    <xf numFmtId="0" fontId="0" fillId="0" borderId="44" xfId="0" applyBorder="1" applyAlignment="1">
      <alignment horizontal="left" wrapText="1" indent="1"/>
    </xf>
    <xf numFmtId="0" fontId="7" fillId="0" borderId="45" xfId="0" applyFont="1" applyBorder="1" applyAlignment="1">
      <alignment vertical="center"/>
    </xf>
    <xf numFmtId="0" fontId="0" fillId="0" borderId="44" xfId="0" applyBorder="1" applyAlignment="1">
      <alignment horizontal="left" vertical="center" indent="1"/>
    </xf>
    <xf numFmtId="0" fontId="3" fillId="0" borderId="44" xfId="0" applyFont="1" applyBorder="1" applyAlignment="1">
      <alignment horizontal="center" vertical="center"/>
    </xf>
    <xf numFmtId="0" fontId="0" fillId="0" borderId="44" xfId="0" applyBorder="1" applyAlignment="1">
      <alignment horizontal="justify" vertical="center"/>
    </xf>
    <xf numFmtId="0" fontId="0" fillId="0" borderId="45" xfId="0" applyBorder="1"/>
    <xf numFmtId="0" fontId="0" fillId="0" borderId="0" xfId="0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4" borderId="49" xfId="0" applyFill="1" applyBorder="1" applyAlignment="1" applyProtection="1">
      <alignment horizontal="center" wrapText="1"/>
      <protection hidden="1"/>
    </xf>
    <xf numFmtId="0" fontId="3" fillId="4" borderId="50" xfId="0" applyFont="1" applyFill="1" applyBorder="1" applyAlignment="1" applyProtection="1">
      <alignment wrapText="1"/>
      <protection hidden="1"/>
    </xf>
    <xf numFmtId="0" fontId="3" fillId="4" borderId="51" xfId="0" applyFont="1" applyFill="1" applyBorder="1" applyAlignment="1" applyProtection="1">
      <alignment wrapText="1"/>
      <protection hidden="1"/>
    </xf>
    <xf numFmtId="0" fontId="3" fillId="4" borderId="52" xfId="0" applyFont="1" applyFill="1" applyBorder="1" applyAlignment="1" applyProtection="1">
      <alignment wrapText="1"/>
      <protection hidden="1"/>
    </xf>
    <xf numFmtId="0" fontId="3" fillId="4" borderId="47" xfId="0" applyFont="1" applyFill="1" applyBorder="1" applyAlignment="1" applyProtection="1">
      <alignment wrapText="1"/>
      <protection hidden="1"/>
    </xf>
    <xf numFmtId="0" fontId="3" fillId="4" borderId="49" xfId="0" applyFont="1" applyFill="1" applyBorder="1" applyAlignment="1" applyProtection="1">
      <alignment wrapText="1"/>
      <protection hidden="1"/>
    </xf>
    <xf numFmtId="0" fontId="0" fillId="4" borderId="44" xfId="0" applyFill="1" applyBorder="1" applyAlignment="1" applyProtection="1">
      <alignment horizontal="center"/>
      <protection hidden="1"/>
    </xf>
    <xf numFmtId="0" fontId="0" fillId="0" borderId="37" xfId="0" applyBorder="1" applyAlignment="1" applyProtection="1">
      <alignment wrapText="1"/>
      <protection locked="0" hidden="1"/>
    </xf>
    <xf numFmtId="0" fontId="0" fillId="0" borderId="38" xfId="0" applyBorder="1" applyAlignment="1" applyProtection="1">
      <alignment wrapText="1"/>
      <protection locked="0" hidden="1"/>
    </xf>
    <xf numFmtId="2" fontId="0" fillId="0" borderId="38" xfId="3" applyNumberFormat="1" applyFont="1" applyFill="1" applyBorder="1" applyAlignment="1" applyProtection="1">
      <alignment wrapText="1"/>
      <protection locked="0" hidden="1"/>
    </xf>
    <xf numFmtId="0" fontId="2" fillId="0" borderId="38" xfId="1" applyFont="1" applyFill="1" applyBorder="1" applyProtection="1">
      <protection locked="0" hidden="1"/>
    </xf>
    <xf numFmtId="2" fontId="0" fillId="0" borderId="54" xfId="3" applyNumberFormat="1" applyFont="1" applyFill="1" applyBorder="1" applyAlignment="1" applyProtection="1">
      <alignment wrapText="1"/>
      <protection locked="0" hidden="1"/>
    </xf>
    <xf numFmtId="2" fontId="0" fillId="4" borderId="54" xfId="0" applyNumberFormat="1" applyFill="1" applyBorder="1" applyProtection="1">
      <protection hidden="1"/>
    </xf>
    <xf numFmtId="2" fontId="0" fillId="4" borderId="27" xfId="0" applyNumberFormat="1" applyFill="1" applyBorder="1" applyProtection="1">
      <protection hidden="1"/>
    </xf>
    <xf numFmtId="2" fontId="0" fillId="4" borderId="61" xfId="0" applyNumberFormat="1" applyFill="1" applyBorder="1" applyProtection="1">
      <protection hidden="1"/>
    </xf>
    <xf numFmtId="0" fontId="0" fillId="0" borderId="28" xfId="0" applyBorder="1" applyAlignment="1" applyProtection="1">
      <alignment wrapText="1"/>
      <protection locked="0" hidden="1"/>
    </xf>
    <xf numFmtId="0" fontId="0" fillId="0" borderId="27" xfId="0" applyBorder="1" applyAlignment="1" applyProtection="1">
      <alignment wrapText="1"/>
      <protection locked="0" hidden="1"/>
    </xf>
    <xf numFmtId="2" fontId="0" fillId="0" borderId="27" xfId="3" applyNumberFormat="1" applyFont="1" applyFill="1" applyBorder="1" applyAlignment="1" applyProtection="1">
      <alignment wrapText="1"/>
      <protection locked="0" hidden="1"/>
    </xf>
    <xf numFmtId="2" fontId="0" fillId="0" borderId="41" xfId="3" applyNumberFormat="1" applyFont="1" applyFill="1" applyBorder="1" applyAlignment="1" applyProtection="1">
      <alignment wrapText="1"/>
      <protection locked="0" hidden="1"/>
    </xf>
    <xf numFmtId="2" fontId="0" fillId="4" borderId="41" xfId="0" applyNumberFormat="1" applyFill="1" applyBorder="1" applyProtection="1">
      <protection hidden="1"/>
    </xf>
    <xf numFmtId="0" fontId="0" fillId="0" borderId="35" xfId="0" applyBorder="1" applyAlignment="1" applyProtection="1">
      <alignment wrapText="1"/>
      <protection locked="0" hidden="1"/>
    </xf>
    <xf numFmtId="0" fontId="0" fillId="0" borderId="36" xfId="0" applyBorder="1" applyAlignment="1" applyProtection="1">
      <alignment wrapText="1"/>
      <protection locked="0" hidden="1"/>
    </xf>
    <xf numFmtId="2" fontId="0" fillId="0" borderId="36" xfId="3" applyNumberFormat="1" applyFont="1" applyFill="1" applyBorder="1" applyAlignment="1" applyProtection="1">
      <alignment wrapText="1"/>
      <protection locked="0" hidden="1"/>
    </xf>
    <xf numFmtId="2" fontId="0" fillId="0" borderId="53" xfId="3" applyNumberFormat="1" applyFont="1" applyFill="1" applyBorder="1" applyAlignment="1" applyProtection="1">
      <alignment wrapText="1"/>
      <protection locked="0" hidden="1"/>
    </xf>
    <xf numFmtId="0" fontId="0" fillId="4" borderId="45" xfId="0" applyFill="1" applyBorder="1" applyProtection="1">
      <protection hidden="1"/>
    </xf>
    <xf numFmtId="0" fontId="0" fillId="4" borderId="30" xfId="0" applyFill="1" applyBorder="1" applyAlignment="1" applyProtection="1">
      <alignment wrapText="1"/>
      <protection hidden="1"/>
    </xf>
    <xf numFmtId="0" fontId="0" fillId="4" borderId="31" xfId="0" applyFill="1" applyBorder="1" applyAlignment="1" applyProtection="1">
      <alignment wrapText="1"/>
      <protection hidden="1"/>
    </xf>
    <xf numFmtId="2" fontId="0" fillId="4" borderId="55" xfId="0" applyNumberFormat="1" applyFill="1" applyBorder="1" applyAlignment="1" applyProtection="1">
      <alignment wrapText="1"/>
      <protection hidden="1"/>
    </xf>
    <xf numFmtId="2" fontId="0" fillId="4" borderId="55" xfId="0" applyNumberFormat="1" applyFill="1" applyBorder="1" applyProtection="1">
      <protection hidden="1"/>
    </xf>
    <xf numFmtId="2" fontId="0" fillId="4" borderId="31" xfId="0" applyNumberFormat="1" applyFill="1" applyBorder="1" applyProtection="1">
      <protection hidden="1"/>
    </xf>
    <xf numFmtId="0" fontId="0" fillId="4" borderId="62" xfId="0" applyFill="1" applyBorder="1" applyProtection="1">
      <protection hidden="1"/>
    </xf>
    <xf numFmtId="0" fontId="0" fillId="5" borderId="28" xfId="0" applyFill="1" applyBorder="1" applyProtection="1">
      <protection hidden="1"/>
    </xf>
    <xf numFmtId="0" fontId="0" fillId="5" borderId="29" xfId="0" applyFill="1" applyBorder="1" applyProtection="1">
      <protection hidden="1"/>
    </xf>
    <xf numFmtId="0" fontId="0" fillId="4" borderId="28" xfId="0" applyFill="1" applyBorder="1" applyProtection="1">
      <protection hidden="1"/>
    </xf>
    <xf numFmtId="0" fontId="0" fillId="4" borderId="29" xfId="0" applyFill="1" applyBorder="1" applyProtection="1">
      <protection hidden="1"/>
    </xf>
    <xf numFmtId="0" fontId="0" fillId="5" borderId="40" xfId="0" applyFill="1" applyBorder="1" applyProtection="1">
      <protection hidden="1"/>
    </xf>
    <xf numFmtId="0" fontId="0" fillId="4" borderId="27" xfId="0" applyFill="1" applyBorder="1" applyProtection="1">
      <protection hidden="1"/>
    </xf>
    <xf numFmtId="0" fontId="0" fillId="4" borderId="41" xfId="0" applyFill="1" applyBorder="1" applyAlignment="1" applyProtection="1">
      <alignment horizontal="center"/>
      <protection hidden="1"/>
    </xf>
    <xf numFmtId="2" fontId="0" fillId="0" borderId="28" xfId="0" applyNumberFormat="1" applyBorder="1" applyProtection="1">
      <protection locked="0" hidden="1"/>
    </xf>
    <xf numFmtId="2" fontId="0" fillId="5" borderId="29" xfId="0" applyNumberFormat="1" applyFill="1" applyBorder="1" applyProtection="1">
      <protection hidden="1"/>
    </xf>
    <xf numFmtId="2" fontId="0" fillId="4" borderId="29" xfId="0" applyNumberFormat="1" applyFill="1" applyBorder="1" applyProtection="1">
      <protection hidden="1"/>
    </xf>
    <xf numFmtId="0" fontId="0" fillId="5" borderId="30" xfId="0" applyFill="1" applyBorder="1" applyProtection="1">
      <protection hidden="1"/>
    </xf>
    <xf numFmtId="0" fontId="0" fillId="4" borderId="31" xfId="0" applyFill="1" applyBorder="1" applyProtection="1">
      <protection hidden="1"/>
    </xf>
    <xf numFmtId="0" fontId="0" fillId="4" borderId="55" xfId="0" applyFill="1" applyBorder="1" applyAlignment="1" applyProtection="1">
      <alignment horizontal="center"/>
      <protection hidden="1"/>
    </xf>
    <xf numFmtId="0" fontId="0" fillId="5" borderId="50" xfId="0" applyFill="1" applyBorder="1" applyProtection="1">
      <protection hidden="1"/>
    </xf>
    <xf numFmtId="0" fontId="0" fillId="5" borderId="51" xfId="0" applyFill="1" applyBorder="1" applyAlignment="1" applyProtection="1">
      <alignment wrapText="1"/>
      <protection hidden="1"/>
    </xf>
    <xf numFmtId="0" fontId="0" fillId="5" borderId="51" xfId="0" applyFill="1" applyBorder="1" applyAlignment="1" applyProtection="1">
      <alignment horizontal="center" wrapText="1"/>
      <protection hidden="1"/>
    </xf>
    <xf numFmtId="164" fontId="3" fillId="5" borderId="51" xfId="0" applyNumberFormat="1" applyFont="1" applyFill="1" applyBorder="1" applyAlignment="1" applyProtection="1">
      <alignment wrapText="1"/>
      <protection hidden="1"/>
    </xf>
    <xf numFmtId="2" fontId="3" fillId="5" borderId="51" xfId="0" applyNumberFormat="1" applyFont="1" applyFill="1" applyBorder="1" applyAlignment="1" applyProtection="1">
      <alignment wrapText="1"/>
      <protection hidden="1"/>
    </xf>
    <xf numFmtId="164" fontId="3" fillId="5" borderId="52" xfId="0" applyNumberFormat="1" applyFont="1" applyFill="1" applyBorder="1" applyAlignment="1" applyProtection="1">
      <alignment wrapText="1"/>
      <protection hidden="1"/>
    </xf>
    <xf numFmtId="0" fontId="0" fillId="8" borderId="28" xfId="0" applyFill="1" applyBorder="1" applyAlignment="1" applyProtection="1">
      <alignment wrapText="1"/>
      <protection hidden="1"/>
    </xf>
    <xf numFmtId="0" fontId="0" fillId="8" borderId="29" xfId="0" applyFill="1" applyBorder="1" applyAlignment="1" applyProtection="1">
      <alignment wrapText="1"/>
      <protection hidden="1"/>
    </xf>
    <xf numFmtId="0" fontId="0" fillId="7" borderId="28" xfId="0" applyFill="1" applyBorder="1" applyAlignment="1" applyProtection="1">
      <alignment wrapText="1"/>
      <protection hidden="1"/>
    </xf>
    <xf numFmtId="0" fontId="0" fillId="7" borderId="29" xfId="0" applyFill="1" applyBorder="1" applyAlignment="1" applyProtection="1">
      <alignment wrapText="1"/>
      <protection hidden="1"/>
    </xf>
    <xf numFmtId="0" fontId="0" fillId="8" borderId="40" xfId="0" applyFill="1" applyBorder="1" applyProtection="1">
      <protection hidden="1"/>
    </xf>
    <xf numFmtId="0" fontId="0" fillId="8" borderId="29" xfId="0" applyFill="1" applyBorder="1" applyProtection="1">
      <protection hidden="1"/>
    </xf>
    <xf numFmtId="0" fontId="0" fillId="8" borderId="28" xfId="0" applyFill="1" applyBorder="1" applyProtection="1">
      <protection hidden="1"/>
    </xf>
    <xf numFmtId="0" fontId="0" fillId="7" borderId="27" xfId="0" applyFill="1" applyBorder="1" applyProtection="1">
      <protection hidden="1"/>
    </xf>
    <xf numFmtId="0" fontId="0" fillId="7" borderId="41" xfId="0" applyFill="1" applyBorder="1" applyAlignment="1" applyProtection="1">
      <alignment wrapText="1"/>
      <protection hidden="1"/>
    </xf>
    <xf numFmtId="2" fontId="0" fillId="6" borderId="28" xfId="0" applyNumberFormat="1" applyFill="1" applyBorder="1" applyProtection="1">
      <protection hidden="1"/>
    </xf>
    <xf numFmtId="2" fontId="0" fillId="8" borderId="29" xfId="0" applyNumberFormat="1" applyFill="1" applyBorder="1" applyAlignment="1" applyProtection="1">
      <alignment wrapText="1"/>
      <protection hidden="1"/>
    </xf>
    <xf numFmtId="2" fontId="0" fillId="7" borderId="29" xfId="0" applyNumberFormat="1" applyFill="1" applyBorder="1" applyAlignment="1" applyProtection="1">
      <alignment wrapText="1"/>
      <protection hidden="1"/>
    </xf>
    <xf numFmtId="2" fontId="0" fillId="8" borderId="29" xfId="0" applyNumberFormat="1" applyFill="1" applyBorder="1" applyProtection="1">
      <protection hidden="1"/>
    </xf>
    <xf numFmtId="0" fontId="0" fillId="8" borderId="35" xfId="0" applyFill="1" applyBorder="1" applyProtection="1">
      <protection hidden="1"/>
    </xf>
    <xf numFmtId="0" fontId="0" fillId="7" borderId="36" xfId="0" applyFill="1" applyBorder="1" applyProtection="1">
      <protection hidden="1"/>
    </xf>
    <xf numFmtId="0" fontId="0" fillId="7" borderId="53" xfId="0" applyFill="1" applyBorder="1" applyAlignment="1" applyProtection="1">
      <alignment wrapText="1"/>
      <protection hidden="1"/>
    </xf>
    <xf numFmtId="0" fontId="0" fillId="8" borderId="50" xfId="0" applyFill="1" applyBorder="1" applyProtection="1">
      <protection hidden="1"/>
    </xf>
    <xf numFmtId="0" fontId="0" fillId="8" borderId="51" xfId="0" applyFill="1" applyBorder="1" applyAlignment="1" applyProtection="1">
      <alignment wrapText="1"/>
      <protection hidden="1"/>
    </xf>
    <xf numFmtId="2" fontId="0" fillId="8" borderId="51" xfId="0" applyNumberFormat="1" applyFill="1" applyBorder="1" applyAlignment="1" applyProtection="1">
      <alignment wrapText="1"/>
      <protection hidden="1"/>
    </xf>
    <xf numFmtId="2" fontId="0" fillId="8" borderId="52" xfId="0" applyNumberFormat="1" applyFill="1" applyBorder="1" applyAlignment="1" applyProtection="1">
      <alignment wrapText="1"/>
      <protection hidden="1"/>
    </xf>
    <xf numFmtId="0" fontId="0" fillId="9" borderId="28" xfId="0" applyFill="1" applyBorder="1" applyAlignment="1" applyProtection="1">
      <alignment wrapText="1"/>
      <protection hidden="1"/>
    </xf>
    <xf numFmtId="0" fontId="0" fillId="9" borderId="29" xfId="0" applyFill="1" applyBorder="1" applyAlignment="1" applyProtection="1">
      <alignment wrapText="1"/>
      <protection hidden="1"/>
    </xf>
    <xf numFmtId="0" fontId="0" fillId="10" borderId="28" xfId="0" applyFill="1" applyBorder="1" applyAlignment="1" applyProtection="1">
      <alignment wrapText="1"/>
      <protection hidden="1"/>
    </xf>
    <xf numFmtId="0" fontId="0" fillId="10" borderId="29" xfId="0" applyFill="1" applyBorder="1" applyAlignment="1" applyProtection="1">
      <alignment wrapText="1"/>
      <protection hidden="1"/>
    </xf>
    <xf numFmtId="0" fontId="0" fillId="9" borderId="40" xfId="0" applyFill="1" applyBorder="1" applyProtection="1">
      <protection hidden="1"/>
    </xf>
    <xf numFmtId="0" fontId="0" fillId="9" borderId="29" xfId="0" applyFill="1" applyBorder="1" applyProtection="1">
      <protection hidden="1"/>
    </xf>
    <xf numFmtId="0" fontId="0" fillId="9" borderId="28" xfId="0" applyFill="1" applyBorder="1" applyProtection="1">
      <protection hidden="1"/>
    </xf>
    <xf numFmtId="0" fontId="0" fillId="10" borderId="27" xfId="0" applyFill="1" applyBorder="1" applyProtection="1">
      <protection hidden="1"/>
    </xf>
    <xf numFmtId="0" fontId="0" fillId="10" borderId="41" xfId="0" applyFill="1" applyBorder="1" applyAlignment="1" applyProtection="1">
      <alignment wrapText="1"/>
      <protection hidden="1"/>
    </xf>
    <xf numFmtId="2" fontId="0" fillId="9" borderId="29" xfId="0" applyNumberFormat="1" applyFill="1" applyBorder="1" applyAlignment="1" applyProtection="1">
      <alignment wrapText="1"/>
      <protection hidden="1"/>
    </xf>
    <xf numFmtId="2" fontId="0" fillId="10" borderId="29" xfId="0" applyNumberFormat="1" applyFill="1" applyBorder="1" applyAlignment="1" applyProtection="1">
      <alignment wrapText="1"/>
      <protection hidden="1"/>
    </xf>
    <xf numFmtId="2" fontId="0" fillId="9" borderId="29" xfId="0" applyNumberFormat="1" applyFill="1" applyBorder="1" applyProtection="1">
      <protection hidden="1"/>
    </xf>
    <xf numFmtId="0" fontId="0" fillId="9" borderId="30" xfId="0" applyFill="1" applyBorder="1" applyProtection="1">
      <protection hidden="1"/>
    </xf>
    <xf numFmtId="0" fontId="0" fillId="10" borderId="31" xfId="0" applyFill="1" applyBorder="1" applyProtection="1">
      <protection hidden="1"/>
    </xf>
    <xf numFmtId="0" fontId="0" fillId="10" borderId="55" xfId="0" applyFill="1" applyBorder="1" applyAlignment="1" applyProtection="1">
      <alignment wrapText="1"/>
      <protection hidden="1"/>
    </xf>
    <xf numFmtId="0" fontId="0" fillId="9" borderId="50" xfId="0" applyFill="1" applyBorder="1" applyProtection="1">
      <protection hidden="1"/>
    </xf>
    <xf numFmtId="0" fontId="0" fillId="9" borderId="51" xfId="0" applyFill="1" applyBorder="1" applyAlignment="1" applyProtection="1">
      <alignment wrapText="1"/>
      <protection hidden="1"/>
    </xf>
    <xf numFmtId="2" fontId="0" fillId="9" borderId="51" xfId="0" applyNumberFormat="1" applyFill="1" applyBorder="1" applyAlignment="1" applyProtection="1">
      <alignment wrapText="1"/>
      <protection hidden="1"/>
    </xf>
    <xf numFmtId="2" fontId="0" fillId="9" borderId="52" xfId="0" applyNumberFormat="1" applyFill="1" applyBorder="1" applyAlignment="1" applyProtection="1">
      <alignment wrapText="1"/>
      <protection hidden="1"/>
    </xf>
    <xf numFmtId="4" fontId="20" fillId="0" borderId="27" xfId="0" applyNumberFormat="1" applyFont="1" applyBorder="1" applyAlignment="1">
      <alignment horizontal="center" vertical="center"/>
    </xf>
    <xf numFmtId="4" fontId="19" fillId="11" borderId="27" xfId="0" applyNumberFormat="1" applyFont="1" applyFill="1" applyBorder="1" applyAlignment="1">
      <alignment horizontal="center" vertical="center" wrapText="1"/>
    </xf>
    <xf numFmtId="4" fontId="20" fillId="0" borderId="0" xfId="0" applyNumberFormat="1" applyFont="1"/>
    <xf numFmtId="0" fontId="20" fillId="0" borderId="0" xfId="0" applyFont="1"/>
    <xf numFmtId="2" fontId="20" fillId="0" borderId="0" xfId="0" applyNumberFormat="1" applyFont="1" applyAlignment="1">
      <alignment horizontal="center" vertical="center"/>
    </xf>
    <xf numFmtId="4" fontId="0" fillId="0" borderId="27" xfId="0" applyNumberFormat="1" applyBorder="1"/>
    <xf numFmtId="0" fontId="19" fillId="11" borderId="38" xfId="0" applyFont="1" applyFill="1" applyBorder="1" applyAlignment="1">
      <alignment horizontal="left" vertical="center"/>
    </xf>
    <xf numFmtId="0" fontId="19" fillId="11" borderId="38" xfId="0" applyFont="1" applyFill="1" applyBorder="1" applyAlignment="1">
      <alignment horizontal="center" vertical="center" wrapText="1"/>
    </xf>
    <xf numFmtId="0" fontId="19" fillId="11" borderId="38" xfId="0" applyFont="1" applyFill="1" applyBorder="1" applyAlignment="1">
      <alignment horizontal="center" vertical="center"/>
    </xf>
    <xf numFmtId="0" fontId="21" fillId="0" borderId="0" xfId="0" applyFont="1" applyAlignment="1">
      <alignment vertical="center" wrapText="1"/>
    </xf>
    <xf numFmtId="0" fontId="0" fillId="0" borderId="27" xfId="0" applyBorder="1" applyAlignment="1">
      <alignment vertical="center" wrapText="1"/>
    </xf>
    <xf numFmtId="0" fontId="23" fillId="0" borderId="0" xfId="4" applyFont="1" applyAlignment="1">
      <alignment horizontal="left"/>
    </xf>
    <xf numFmtId="4" fontId="20" fillId="13" borderId="27" xfId="0" applyNumberFormat="1" applyFont="1" applyFill="1" applyBorder="1" applyAlignment="1">
      <alignment horizontal="center" vertical="center"/>
    </xf>
    <xf numFmtId="0" fontId="1" fillId="0" borderId="0" xfId="4" applyFont="1"/>
    <xf numFmtId="0" fontId="27" fillId="11" borderId="27" xfId="4" applyFont="1" applyFill="1" applyBorder="1" applyAlignment="1">
      <alignment horizontal="left" vertical="center" wrapText="1"/>
    </xf>
    <xf numFmtId="0" fontId="27" fillId="11" borderId="27" xfId="4" applyFont="1" applyFill="1" applyBorder="1" applyAlignment="1">
      <alignment horizontal="center" vertical="center" wrapText="1"/>
    </xf>
    <xf numFmtId="0" fontId="19" fillId="11" borderId="84" xfId="0" applyFont="1" applyFill="1" applyBorder="1" applyAlignment="1">
      <alignment horizontal="center" vertical="center" wrapText="1"/>
    </xf>
    <xf numFmtId="0" fontId="1" fillId="0" borderId="27" xfId="4" applyFont="1" applyBorder="1" applyAlignment="1">
      <alignment wrapText="1"/>
    </xf>
    <xf numFmtId="0" fontId="1" fillId="0" borderId="27" xfId="4" applyFont="1" applyBorder="1" applyAlignment="1">
      <alignment horizontal="center" vertical="center"/>
    </xf>
    <xf numFmtId="165" fontId="1" fillId="0" borderId="27" xfId="4" applyNumberFormat="1" applyFont="1" applyBorder="1" applyAlignment="1">
      <alignment horizontal="right"/>
    </xf>
    <xf numFmtId="0" fontId="1" fillId="0" borderId="27" xfId="4" applyFont="1" applyBorder="1"/>
    <xf numFmtId="2" fontId="1" fillId="0" borderId="27" xfId="4" applyNumberFormat="1" applyFont="1" applyBorder="1"/>
    <xf numFmtId="2" fontId="1" fillId="12" borderId="27" xfId="4" applyNumberFormat="1" applyFont="1" applyFill="1" applyBorder="1"/>
    <xf numFmtId="165" fontId="1" fillId="0" borderId="27" xfId="4" applyNumberFormat="1" applyFont="1" applyBorder="1" applyAlignment="1">
      <alignment horizontal="right" vertical="center"/>
    </xf>
    <xf numFmtId="0" fontId="1" fillId="0" borderId="27" xfId="4" applyFont="1" applyBorder="1" applyAlignment="1">
      <alignment horizontal="left" vertical="center"/>
    </xf>
    <xf numFmtId="0" fontId="1" fillId="0" borderId="27" xfId="4" applyFont="1" applyBorder="1" applyAlignment="1">
      <alignment horizontal="right"/>
    </xf>
    <xf numFmtId="0" fontId="31" fillId="0" borderId="0" xfId="4" applyFont="1" applyAlignment="1">
      <alignment horizontal="left" vertical="center"/>
    </xf>
    <xf numFmtId="0" fontId="31" fillId="0" borderId="85" xfId="4" applyFont="1" applyBorder="1" applyAlignment="1">
      <alignment horizontal="left" vertical="center"/>
    </xf>
    <xf numFmtId="0" fontId="31" fillId="0" borderId="86" xfId="4" applyFont="1" applyBorder="1" applyAlignment="1">
      <alignment horizontal="left" vertical="center"/>
    </xf>
    <xf numFmtId="0" fontId="19" fillId="11" borderId="27" xfId="0" applyFont="1" applyFill="1" applyBorder="1" applyAlignment="1">
      <alignment horizontal="left" vertical="center"/>
    </xf>
    <xf numFmtId="0" fontId="19" fillId="11" borderId="27" xfId="0" applyFont="1" applyFill="1" applyBorder="1" applyAlignment="1">
      <alignment horizontal="center" vertical="center" wrapText="1"/>
    </xf>
    <xf numFmtId="0" fontId="19" fillId="11" borderId="27" xfId="0" applyFont="1" applyFill="1" applyBorder="1" applyAlignment="1">
      <alignment horizontal="center" vertical="center"/>
    </xf>
    <xf numFmtId="0" fontId="0" fillId="4" borderId="27" xfId="0" applyFill="1" applyBorder="1" applyProtection="1">
      <protection locked="0"/>
    </xf>
    <xf numFmtId="0" fontId="0" fillId="4" borderId="41" xfId="0" applyFill="1" applyBorder="1" applyProtection="1">
      <protection locked="0"/>
    </xf>
    <xf numFmtId="0" fontId="1" fillId="7" borderId="27" xfId="4" applyFont="1" applyFill="1" applyBorder="1" applyProtection="1">
      <protection locked="0"/>
    </xf>
    <xf numFmtId="0" fontId="12" fillId="0" borderId="7" xfId="1" applyFont="1" applyFill="1" applyBorder="1" applyAlignment="1" applyProtection="1">
      <alignment vertical="center" wrapText="1"/>
    </xf>
    <xf numFmtId="0" fontId="12" fillId="0" borderId="10" xfId="1" applyFont="1" applyFill="1" applyBorder="1" applyAlignment="1" applyProtection="1">
      <alignment vertical="center" wrapText="1"/>
    </xf>
    <xf numFmtId="0" fontId="12" fillId="0" borderId="12" xfId="1" applyFont="1" applyFill="1" applyBorder="1" applyAlignment="1" applyProtection="1">
      <alignment vertical="center" wrapText="1"/>
    </xf>
    <xf numFmtId="0" fontId="10" fillId="0" borderId="3" xfId="1" applyFont="1" applyFill="1" applyBorder="1" applyAlignment="1" applyProtection="1">
      <alignment horizontal="right" vertical="center" wrapText="1"/>
    </xf>
    <xf numFmtId="0" fontId="13" fillId="0" borderId="75" xfId="1" applyFont="1" applyFill="1" applyBorder="1" applyProtection="1"/>
    <xf numFmtId="0" fontId="13" fillId="0" borderId="21" xfId="1" applyFont="1" applyFill="1" applyBorder="1" applyProtection="1"/>
    <xf numFmtId="2" fontId="12" fillId="0" borderId="76" xfId="1" applyNumberFormat="1" applyFont="1" applyFill="1" applyBorder="1" applyProtection="1"/>
    <xf numFmtId="2" fontId="12" fillId="0" borderId="26" xfId="1" applyNumberFormat="1" applyFont="1" applyFill="1" applyBorder="1" applyProtection="1"/>
    <xf numFmtId="0" fontId="13" fillId="0" borderId="64" xfId="1" applyFont="1" applyFill="1" applyBorder="1" applyAlignment="1" applyProtection="1">
      <alignment wrapText="1"/>
    </xf>
    <xf numFmtId="0" fontId="13" fillId="0" borderId="65" xfId="1" applyFont="1" applyFill="1" applyBorder="1" applyAlignment="1" applyProtection="1">
      <alignment horizontal="center" vertical="center" wrapText="1"/>
    </xf>
    <xf numFmtId="0" fontId="13" fillId="0" borderId="6" xfId="1" applyFont="1" applyFill="1" applyBorder="1" applyAlignment="1" applyProtection="1">
      <alignment wrapText="1"/>
    </xf>
    <xf numFmtId="0" fontId="13" fillId="0" borderId="65" xfId="1" applyFont="1" applyFill="1" applyBorder="1" applyAlignment="1" applyProtection="1">
      <alignment wrapText="1"/>
    </xf>
    <xf numFmtId="0" fontId="13" fillId="0" borderId="66" xfId="1" applyFont="1" applyFill="1" applyBorder="1" applyAlignment="1" applyProtection="1">
      <alignment wrapText="1"/>
    </xf>
    <xf numFmtId="0" fontId="12" fillId="0" borderId="10" xfId="1" applyFont="1" applyFill="1" applyBorder="1" applyProtection="1"/>
    <xf numFmtId="0" fontId="12" fillId="0" borderId="15" xfId="1" applyFont="1" applyFill="1" applyBorder="1" applyAlignment="1" applyProtection="1">
      <alignment horizontal="center"/>
    </xf>
    <xf numFmtId="4" fontId="16" fillId="4" borderId="49" xfId="1" applyNumberFormat="1" applyFont="1" applyFill="1" applyBorder="1" applyProtection="1"/>
    <xf numFmtId="0" fontId="12" fillId="0" borderId="16" xfId="1" applyFont="1" applyFill="1" applyBorder="1" applyProtection="1"/>
    <xf numFmtId="0" fontId="12" fillId="0" borderId="11" xfId="1" applyFont="1" applyFill="1" applyBorder="1" applyProtection="1"/>
    <xf numFmtId="0" fontId="13" fillId="0" borderId="80" xfId="1" applyFont="1" applyFill="1" applyBorder="1" applyProtection="1"/>
    <xf numFmtId="0" fontId="14" fillId="0" borderId="3" xfId="1" applyFont="1" applyFill="1" applyBorder="1" applyProtection="1"/>
    <xf numFmtId="0" fontId="10" fillId="0" borderId="47" xfId="1" applyFont="1" applyFill="1" applyBorder="1" applyAlignment="1" applyProtection="1">
      <alignment horizontal="right" vertical="center" wrapText="1"/>
    </xf>
    <xf numFmtId="0" fontId="13" fillId="0" borderId="19" xfId="1" applyFont="1" applyFill="1" applyBorder="1" applyAlignment="1" applyProtection="1"/>
    <xf numFmtId="0" fontId="13" fillId="0" borderId="8" xfId="1" applyFont="1" applyFill="1" applyBorder="1" applyProtection="1"/>
    <xf numFmtId="0" fontId="13" fillId="0" borderId="9" xfId="1" applyFont="1" applyFill="1" applyBorder="1" applyProtection="1"/>
    <xf numFmtId="0" fontId="12" fillId="0" borderId="71" xfId="1" applyFont="1" applyFill="1" applyBorder="1" applyAlignment="1" applyProtection="1"/>
    <xf numFmtId="2" fontId="12" fillId="0" borderId="13" xfId="1" applyNumberFormat="1" applyFont="1" applyFill="1" applyBorder="1" applyProtection="1"/>
    <xf numFmtId="2" fontId="12" fillId="0" borderId="14" xfId="1" applyNumberFormat="1" applyFont="1" applyFill="1" applyBorder="1" applyProtection="1"/>
    <xf numFmtId="0" fontId="13" fillId="0" borderId="81" xfId="1" applyFont="1" applyFill="1" applyBorder="1" applyAlignment="1" applyProtection="1">
      <alignment wrapText="1"/>
    </xf>
    <xf numFmtId="2" fontId="14" fillId="0" borderId="82" xfId="1" applyNumberFormat="1" applyFont="1" applyFill="1" applyBorder="1" applyAlignment="1" applyProtection="1">
      <alignment vertical="center"/>
    </xf>
    <xf numFmtId="2" fontId="10" fillId="0" borderId="49" xfId="1" applyNumberFormat="1" applyFont="1" applyFill="1" applyBorder="1" applyAlignment="1" applyProtection="1"/>
    <xf numFmtId="0" fontId="5" fillId="4" borderId="11" xfId="1" applyFont="1" applyFill="1" applyBorder="1" applyProtection="1">
      <protection locked="0"/>
    </xf>
    <xf numFmtId="0" fontId="5" fillId="4" borderId="14" xfId="1" applyFont="1" applyFill="1" applyBorder="1" applyProtection="1">
      <protection locked="0"/>
    </xf>
    <xf numFmtId="0" fontId="16" fillId="4" borderId="49" xfId="1" applyFont="1" applyFill="1" applyBorder="1" applyProtection="1">
      <protection locked="0"/>
    </xf>
    <xf numFmtId="0" fontId="3" fillId="10" borderId="33" xfId="0" applyFont="1" applyFill="1" applyBorder="1" applyAlignment="1" applyProtection="1">
      <alignment horizontal="left" vertical="center" wrapText="1"/>
      <protection hidden="1"/>
    </xf>
    <xf numFmtId="0" fontId="3" fillId="10" borderId="59" xfId="0" applyFont="1" applyFill="1" applyBorder="1" applyAlignment="1" applyProtection="1">
      <alignment horizontal="left" vertical="center" wrapText="1"/>
      <protection hidden="1"/>
    </xf>
    <xf numFmtId="0" fontId="3" fillId="10" borderId="27" xfId="0" applyFont="1" applyFill="1" applyBorder="1" applyAlignment="1" applyProtection="1">
      <alignment horizontal="left" vertical="center" wrapText="1"/>
      <protection hidden="1"/>
    </xf>
    <xf numFmtId="0" fontId="3" fillId="10" borderId="41" xfId="0" applyFont="1" applyFill="1" applyBorder="1" applyAlignment="1" applyProtection="1">
      <alignment horizontal="left" vertical="center" wrapText="1"/>
      <protection hidden="1"/>
    </xf>
    <xf numFmtId="0" fontId="0" fillId="9" borderId="32" xfId="0" applyFill="1" applyBorder="1" applyAlignment="1" applyProtection="1">
      <alignment horizontal="center" wrapText="1"/>
      <protection hidden="1"/>
    </xf>
    <xf numFmtId="0" fontId="0" fillId="9" borderId="34" xfId="0" applyFill="1" applyBorder="1" applyAlignment="1" applyProtection="1">
      <alignment horizontal="center" wrapText="1"/>
      <protection hidden="1"/>
    </xf>
    <xf numFmtId="0" fontId="0" fillId="10" borderId="32" xfId="0" applyFill="1" applyBorder="1" applyAlignment="1" applyProtection="1">
      <alignment horizontal="center" wrapText="1"/>
      <protection hidden="1"/>
    </xf>
    <xf numFmtId="0" fontId="0" fillId="10" borderId="34" xfId="0" applyFill="1" applyBorder="1" applyAlignment="1" applyProtection="1">
      <alignment horizontal="center" wrapText="1"/>
      <protection hidden="1"/>
    </xf>
    <xf numFmtId="0" fontId="0" fillId="9" borderId="60" xfId="0" applyFill="1" applyBorder="1" applyAlignment="1" applyProtection="1">
      <alignment horizontal="center"/>
      <protection hidden="1"/>
    </xf>
    <xf numFmtId="0" fontId="0" fillId="9" borderId="34" xfId="0" applyFill="1" applyBorder="1" applyAlignment="1" applyProtection="1">
      <alignment horizontal="center"/>
      <protection hidden="1"/>
    </xf>
    <xf numFmtId="0" fontId="18" fillId="5" borderId="57" xfId="0" applyFont="1" applyFill="1" applyBorder="1" applyAlignment="1" applyProtection="1">
      <alignment horizontal="center" vertical="center"/>
      <protection hidden="1"/>
    </xf>
    <xf numFmtId="0" fontId="18" fillId="5" borderId="58" xfId="0" applyFont="1" applyFill="1" applyBorder="1" applyAlignment="1" applyProtection="1">
      <alignment horizontal="center" vertical="center"/>
      <protection hidden="1"/>
    </xf>
    <xf numFmtId="0" fontId="18" fillId="5" borderId="56" xfId="0" applyFont="1" applyFill="1" applyBorder="1" applyAlignment="1" applyProtection="1">
      <alignment horizontal="center" vertical="center"/>
      <protection hidden="1"/>
    </xf>
    <xf numFmtId="0" fontId="0" fillId="5" borderId="32" xfId="0" applyFill="1" applyBorder="1" applyAlignment="1" applyProtection="1">
      <alignment horizontal="center" wrapText="1"/>
      <protection hidden="1"/>
    </xf>
    <xf numFmtId="0" fontId="0" fillId="5" borderId="28" xfId="0" applyFill="1" applyBorder="1" applyAlignment="1" applyProtection="1">
      <alignment horizontal="center" wrapText="1"/>
      <protection hidden="1"/>
    </xf>
    <xf numFmtId="0" fontId="0" fillId="5" borderId="32" xfId="0" applyFill="1" applyBorder="1" applyAlignment="1" applyProtection="1">
      <alignment horizontal="center"/>
      <protection hidden="1"/>
    </xf>
    <xf numFmtId="0" fontId="0" fillId="5" borderId="34" xfId="0" applyFill="1" applyBorder="1" applyAlignment="1" applyProtection="1">
      <alignment horizontal="center"/>
      <protection hidden="1"/>
    </xf>
    <xf numFmtId="0" fontId="0" fillId="4" borderId="32" xfId="0" applyFill="1" applyBorder="1" applyAlignment="1" applyProtection="1">
      <alignment horizontal="center"/>
      <protection hidden="1"/>
    </xf>
    <xf numFmtId="0" fontId="0" fillId="4" borderId="34" xfId="0" applyFill="1" applyBorder="1" applyAlignment="1" applyProtection="1">
      <alignment horizontal="center"/>
      <protection hidden="1"/>
    </xf>
    <xf numFmtId="0" fontId="0" fillId="5" borderId="60" xfId="0" applyFill="1" applyBorder="1" applyAlignment="1" applyProtection="1">
      <alignment horizontal="center"/>
      <protection hidden="1"/>
    </xf>
    <xf numFmtId="0" fontId="18" fillId="9" borderId="43" xfId="0" applyFont="1" applyFill="1" applyBorder="1" applyAlignment="1" applyProtection="1">
      <alignment horizontal="center" vertical="center"/>
      <protection hidden="1"/>
    </xf>
    <xf numFmtId="0" fontId="18" fillId="9" borderId="1" xfId="0" applyFont="1" applyFill="1" applyBorder="1" applyAlignment="1" applyProtection="1">
      <alignment horizontal="center" vertical="center"/>
      <protection hidden="1"/>
    </xf>
    <xf numFmtId="0" fontId="18" fillId="9" borderId="42" xfId="0" applyFont="1" applyFill="1" applyBorder="1" applyAlignment="1" applyProtection="1">
      <alignment horizontal="center" vertical="center"/>
      <protection hidden="1"/>
    </xf>
    <xf numFmtId="0" fontId="0" fillId="9" borderId="28" xfId="0" applyFill="1" applyBorder="1" applyAlignment="1" applyProtection="1">
      <alignment horizontal="center" wrapText="1"/>
      <protection hidden="1"/>
    </xf>
    <xf numFmtId="0" fontId="18" fillId="5" borderId="47" xfId="0" applyFont="1" applyFill="1" applyBorder="1" applyAlignment="1" applyProtection="1">
      <alignment horizontal="center" vertical="center"/>
      <protection hidden="1"/>
    </xf>
    <xf numFmtId="0" fontId="18" fillId="5" borderId="23" xfId="0" applyFont="1" applyFill="1" applyBorder="1" applyAlignment="1" applyProtection="1">
      <alignment horizontal="center" vertical="center"/>
      <protection hidden="1"/>
    </xf>
    <xf numFmtId="0" fontId="18" fillId="5" borderId="48" xfId="0" applyFont="1" applyFill="1" applyBorder="1" applyAlignment="1" applyProtection="1">
      <alignment horizontal="center" vertical="center"/>
      <protection hidden="1"/>
    </xf>
    <xf numFmtId="0" fontId="0" fillId="4" borderId="59" xfId="0" applyFill="1" applyBorder="1" applyAlignment="1" applyProtection="1">
      <alignment horizontal="center" vertical="center"/>
      <protection hidden="1"/>
    </xf>
    <xf numFmtId="0" fontId="0" fillId="4" borderId="41" xfId="0" applyFill="1" applyBorder="1" applyAlignment="1" applyProtection="1">
      <alignment horizontal="center" vertical="center"/>
      <protection hidden="1"/>
    </xf>
    <xf numFmtId="0" fontId="3" fillId="4" borderId="33" xfId="0" applyFont="1" applyFill="1" applyBorder="1" applyAlignment="1" applyProtection="1">
      <alignment horizontal="left" vertical="center" wrapText="1"/>
      <protection hidden="1"/>
    </xf>
    <xf numFmtId="0" fontId="3" fillId="4" borderId="27" xfId="0" applyFont="1" applyFill="1" applyBorder="1" applyAlignment="1" applyProtection="1">
      <alignment horizontal="left" vertical="center" wrapText="1"/>
      <protection hidden="1"/>
    </xf>
    <xf numFmtId="0" fontId="18" fillId="8" borderId="50" xfId="0" applyFont="1" applyFill="1" applyBorder="1" applyAlignment="1" applyProtection="1">
      <alignment horizontal="center" vertical="center"/>
      <protection hidden="1"/>
    </xf>
    <xf numFmtId="0" fontId="18" fillId="8" borderId="51" xfId="0" applyFont="1" applyFill="1" applyBorder="1" applyAlignment="1" applyProtection="1">
      <alignment horizontal="center" vertical="center"/>
      <protection hidden="1"/>
    </xf>
    <xf numFmtId="0" fontId="18" fillId="8" borderId="52" xfId="0" applyFont="1" applyFill="1" applyBorder="1" applyAlignment="1" applyProtection="1">
      <alignment horizontal="center" vertical="center"/>
      <protection hidden="1"/>
    </xf>
    <xf numFmtId="0" fontId="0" fillId="8" borderId="37" xfId="0" applyFill="1" applyBorder="1" applyAlignment="1" applyProtection="1">
      <alignment horizontal="center" wrapText="1"/>
      <protection hidden="1"/>
    </xf>
    <xf numFmtId="0" fontId="0" fillId="8" borderId="28" xfId="0" applyFill="1" applyBorder="1" applyAlignment="1" applyProtection="1">
      <alignment horizontal="center" wrapText="1"/>
      <protection hidden="1"/>
    </xf>
    <xf numFmtId="0" fontId="3" fillId="7" borderId="38" xfId="0" applyFont="1" applyFill="1" applyBorder="1" applyAlignment="1" applyProtection="1">
      <alignment horizontal="left" vertical="center" wrapText="1"/>
      <protection hidden="1"/>
    </xf>
    <xf numFmtId="0" fontId="3" fillId="7" borderId="54" xfId="0" applyFont="1" applyFill="1" applyBorder="1" applyAlignment="1" applyProtection="1">
      <alignment horizontal="left" vertical="center" wrapText="1"/>
      <protection hidden="1"/>
    </xf>
    <xf numFmtId="0" fontId="3" fillId="7" borderId="27" xfId="0" applyFont="1" applyFill="1" applyBorder="1" applyAlignment="1" applyProtection="1">
      <alignment horizontal="left" vertical="center" wrapText="1"/>
      <protection hidden="1"/>
    </xf>
    <xf numFmtId="0" fontId="3" fillId="7" borderId="41" xfId="0" applyFont="1" applyFill="1" applyBorder="1" applyAlignment="1" applyProtection="1">
      <alignment horizontal="left" vertical="center" wrapText="1"/>
      <protection hidden="1"/>
    </xf>
    <xf numFmtId="0" fontId="0" fillId="8" borderId="46" xfId="0" applyFill="1" applyBorder="1" applyAlignment="1" applyProtection="1">
      <alignment horizontal="center"/>
      <protection hidden="1"/>
    </xf>
    <xf numFmtId="0" fontId="0" fillId="8" borderId="39" xfId="0" applyFill="1" applyBorder="1" applyAlignment="1" applyProtection="1">
      <alignment horizontal="center"/>
      <protection hidden="1"/>
    </xf>
    <xf numFmtId="0" fontId="0" fillId="7" borderId="32" xfId="0" applyFill="1" applyBorder="1" applyAlignment="1" applyProtection="1">
      <alignment horizontal="center" wrapText="1"/>
      <protection hidden="1"/>
    </xf>
    <xf numFmtId="0" fontId="0" fillId="7" borderId="34" xfId="0" applyFill="1" applyBorder="1" applyAlignment="1" applyProtection="1">
      <alignment horizontal="center" wrapText="1"/>
      <protection hidden="1"/>
    </xf>
    <xf numFmtId="0" fontId="0" fillId="8" borderId="32" xfId="0" applyFill="1" applyBorder="1" applyAlignment="1" applyProtection="1">
      <alignment horizontal="center" wrapText="1"/>
      <protection hidden="1"/>
    </xf>
    <xf numFmtId="0" fontId="0" fillId="8" borderId="34" xfId="0" applyFill="1" applyBorder="1" applyAlignment="1" applyProtection="1">
      <alignment horizontal="center" wrapText="1"/>
      <protection hidden="1"/>
    </xf>
    <xf numFmtId="4" fontId="19" fillId="14" borderId="27" xfId="0" applyNumberFormat="1" applyFont="1" applyFill="1" applyBorder="1" applyAlignment="1">
      <alignment horizontal="left" vertical="center"/>
    </xf>
    <xf numFmtId="0" fontId="32" fillId="0" borderId="50" xfId="4" applyFont="1" applyBorder="1" applyAlignment="1">
      <alignment horizontal="left"/>
    </xf>
    <xf numFmtId="0" fontId="33" fillId="0" borderId="51" xfId="4" applyFont="1" applyBorder="1" applyAlignment="1">
      <alignment horizontal="left"/>
    </xf>
    <xf numFmtId="0" fontId="33" fillId="0" borderId="52" xfId="4" applyFont="1" applyBorder="1" applyAlignment="1">
      <alignment horizontal="left"/>
    </xf>
    <xf numFmtId="0" fontId="20" fillId="0" borderId="38" xfId="0" applyFont="1" applyBorder="1" applyAlignment="1">
      <alignment horizontal="left" vertical="center"/>
    </xf>
    <xf numFmtId="0" fontId="27" fillId="11" borderId="41" xfId="4" applyFont="1" applyFill="1" applyBorder="1" applyAlignment="1">
      <alignment horizontal="left" vertical="center"/>
    </xf>
    <xf numFmtId="0" fontId="27" fillId="11" borderId="83" xfId="4" applyFont="1" applyFill="1" applyBorder="1" applyAlignment="1">
      <alignment horizontal="left" vertical="center"/>
    </xf>
    <xf numFmtId="0" fontId="27" fillId="11" borderId="40" xfId="4" applyFont="1" applyFill="1" applyBorder="1" applyAlignment="1">
      <alignment horizontal="left" vertical="center"/>
    </xf>
    <xf numFmtId="0" fontId="25" fillId="0" borderId="27" xfId="0" applyFont="1" applyBorder="1" applyAlignment="1">
      <alignment horizontal="center" vertical="center" wrapText="1"/>
    </xf>
    <xf numFmtId="0" fontId="20" fillId="0" borderId="27" xfId="0" applyFont="1" applyBorder="1" applyAlignment="1">
      <alignment horizontal="left" vertical="center" wrapText="1"/>
    </xf>
    <xf numFmtId="0" fontId="20" fillId="0" borderId="27" xfId="0" applyFont="1" applyBorder="1" applyAlignment="1">
      <alignment horizontal="left" vertical="center"/>
    </xf>
    <xf numFmtId="4" fontId="20" fillId="0" borderId="27" xfId="0" applyNumberFormat="1" applyFont="1" applyBorder="1" applyAlignment="1">
      <alignment horizontal="left" wrapText="1"/>
    </xf>
    <xf numFmtId="4" fontId="20" fillId="0" borderId="27" xfId="0" applyNumberFormat="1" applyFont="1" applyBorder="1" applyAlignment="1">
      <alignment horizontal="left"/>
    </xf>
    <xf numFmtId="0" fontId="19" fillId="0" borderId="27" xfId="0" applyFont="1" applyBorder="1" applyAlignment="1">
      <alignment horizontal="left" vertical="center"/>
    </xf>
    <xf numFmtId="0" fontId="24" fillId="0" borderId="27" xfId="0" applyFont="1" applyBorder="1" applyAlignment="1">
      <alignment horizontal="left" vertical="center"/>
    </xf>
    <xf numFmtId="0" fontId="26" fillId="0" borderId="27" xfId="0" applyFont="1" applyBorder="1" applyAlignment="1">
      <alignment horizontal="left" vertical="center" wrapText="1"/>
    </xf>
    <xf numFmtId="0" fontId="21" fillId="11" borderId="41" xfId="0" applyFont="1" applyFill="1" applyBorder="1" applyAlignment="1">
      <alignment horizontal="left" vertical="center" wrapText="1"/>
    </xf>
    <xf numFmtId="0" fontId="21" fillId="11" borderId="83" xfId="0" applyFont="1" applyFill="1" applyBorder="1" applyAlignment="1">
      <alignment horizontal="left" vertical="center" wrapText="1"/>
    </xf>
    <xf numFmtId="0" fontId="21" fillId="11" borderId="46" xfId="0" applyFont="1" applyFill="1" applyBorder="1" applyAlignment="1">
      <alignment horizontal="left" vertical="center" wrapText="1"/>
    </xf>
    <xf numFmtId="0" fontId="31" fillId="0" borderId="47" xfId="4" applyFont="1" applyBorder="1" applyAlignment="1">
      <alignment horizontal="left" vertical="center"/>
    </xf>
    <xf numFmtId="0" fontId="31" fillId="0" borderId="23" xfId="4" applyFont="1" applyBorder="1" applyAlignment="1">
      <alignment horizontal="left" vertical="center"/>
    </xf>
    <xf numFmtId="0" fontId="31" fillId="0" borderId="48" xfId="4" applyFont="1" applyBorder="1" applyAlignment="1">
      <alignment horizontal="left" vertical="center"/>
    </xf>
    <xf numFmtId="0" fontId="17" fillId="0" borderId="22" xfId="1" applyFont="1" applyFill="1" applyBorder="1" applyAlignment="1" applyProtection="1">
      <alignment horizontal="center"/>
    </xf>
    <xf numFmtId="0" fontId="17" fillId="0" borderId="23" xfId="1" applyFont="1" applyFill="1" applyBorder="1" applyAlignment="1" applyProtection="1">
      <alignment horizontal="center"/>
    </xf>
    <xf numFmtId="0" fontId="17" fillId="0" borderId="24" xfId="1" applyFont="1" applyFill="1" applyBorder="1" applyAlignment="1" applyProtection="1">
      <alignment horizontal="center"/>
    </xf>
    <xf numFmtId="0" fontId="12" fillId="4" borderId="7" xfId="1" applyFont="1" applyFill="1" applyBorder="1" applyAlignment="1" applyProtection="1">
      <alignment horizontal="left"/>
      <protection locked="0"/>
    </xf>
    <xf numFmtId="0" fontId="12" fillId="4" borderId="12" xfId="1" applyFont="1" applyFill="1" applyBorder="1" applyAlignment="1" applyProtection="1">
      <alignment horizontal="left"/>
      <protection locked="0"/>
    </xf>
    <xf numFmtId="0" fontId="12" fillId="4" borderId="8" xfId="1" applyFont="1" applyFill="1" applyBorder="1" applyAlignment="1" applyProtection="1">
      <alignment horizontal="left"/>
      <protection locked="0"/>
    </xf>
    <xf numFmtId="0" fontId="12" fillId="4" borderId="13" xfId="1" applyFont="1" applyFill="1" applyBorder="1" applyAlignment="1" applyProtection="1">
      <alignment horizontal="left"/>
      <protection locked="0"/>
    </xf>
    <xf numFmtId="0" fontId="12" fillId="4" borderId="8" xfId="1" applyFont="1" applyFill="1" applyBorder="1" applyAlignment="1" applyProtection="1">
      <alignment horizontal="center"/>
      <protection locked="0"/>
    </xf>
    <xf numFmtId="0" fontId="12" fillId="4" borderId="9" xfId="1" applyFont="1" applyFill="1" applyBorder="1" applyAlignment="1" applyProtection="1">
      <alignment horizontal="center"/>
      <protection locked="0"/>
    </xf>
    <xf numFmtId="0" fontId="12" fillId="4" borderId="13" xfId="1" applyFont="1" applyFill="1" applyBorder="1" applyAlignment="1" applyProtection="1">
      <alignment horizontal="center"/>
      <protection locked="0"/>
    </xf>
    <xf numFmtId="0" fontId="12" fillId="4" borderId="14" xfId="1" applyFont="1" applyFill="1" applyBorder="1" applyAlignment="1" applyProtection="1">
      <alignment horizontal="center"/>
      <protection locked="0"/>
    </xf>
    <xf numFmtId="0" fontId="13" fillId="0" borderId="43" xfId="1" applyFont="1" applyFill="1" applyBorder="1" applyAlignment="1" applyProtection="1">
      <alignment horizontal="left"/>
    </xf>
    <xf numFmtId="0" fontId="13" fillId="0" borderId="1" xfId="1" applyFont="1" applyFill="1" applyBorder="1" applyAlignment="1" applyProtection="1">
      <alignment horizontal="left"/>
    </xf>
    <xf numFmtId="0" fontId="12" fillId="0" borderId="74" xfId="1" applyFont="1" applyFill="1" applyBorder="1" applyAlignment="1" applyProtection="1">
      <alignment horizontal="left"/>
    </xf>
    <xf numFmtId="0" fontId="12" fillId="0" borderId="70" xfId="1" applyFont="1" applyFill="1" applyBorder="1" applyAlignment="1" applyProtection="1">
      <alignment horizontal="left"/>
    </xf>
    <xf numFmtId="0" fontId="14" fillId="0" borderId="71" xfId="1" applyFont="1" applyFill="1" applyBorder="1" applyAlignment="1" applyProtection="1">
      <alignment horizontal="left"/>
    </xf>
    <xf numFmtId="0" fontId="14" fillId="0" borderId="25" xfId="1" applyFont="1" applyFill="1" applyBorder="1" applyAlignment="1" applyProtection="1">
      <alignment horizontal="left"/>
    </xf>
    <xf numFmtId="0" fontId="14" fillId="0" borderId="72" xfId="1" applyFont="1" applyFill="1" applyBorder="1" applyAlignment="1" applyProtection="1">
      <alignment horizontal="left"/>
    </xf>
    <xf numFmtId="0" fontId="10" fillId="0" borderId="47" xfId="1" applyFont="1" applyFill="1" applyBorder="1" applyAlignment="1" applyProtection="1">
      <alignment horizontal="left"/>
    </xf>
    <xf numFmtId="0" fontId="10" fillId="0" borderId="23" xfId="1" applyFont="1" applyFill="1" applyBorder="1" applyAlignment="1" applyProtection="1">
      <alignment horizontal="left"/>
    </xf>
    <xf numFmtId="0" fontId="10" fillId="0" borderId="24" xfId="1" applyFont="1" applyFill="1" applyBorder="1" applyAlignment="1" applyProtection="1">
      <alignment horizontal="left"/>
    </xf>
    <xf numFmtId="0" fontId="10" fillId="0" borderId="23" xfId="1" applyFont="1" applyFill="1" applyBorder="1" applyAlignment="1" applyProtection="1">
      <alignment horizontal="left" vertical="center" wrapText="1"/>
    </xf>
    <xf numFmtId="0" fontId="10" fillId="0" borderId="48" xfId="1" applyFont="1" applyFill="1" applyBorder="1" applyAlignment="1" applyProtection="1">
      <alignment horizontal="left" vertical="center" wrapText="1"/>
    </xf>
    <xf numFmtId="2" fontId="12" fillId="0" borderId="25" xfId="1" applyNumberFormat="1" applyFont="1" applyFill="1" applyBorder="1" applyAlignment="1" applyProtection="1">
      <alignment horizontal="left"/>
    </xf>
    <xf numFmtId="0" fontId="12" fillId="0" borderId="72" xfId="1" applyFont="1" applyFill="1" applyBorder="1" applyAlignment="1" applyProtection="1">
      <alignment horizontal="left"/>
    </xf>
    <xf numFmtId="0" fontId="13" fillId="0" borderId="20" xfId="1" applyFont="1" applyFill="1" applyBorder="1" applyAlignment="1" applyProtection="1">
      <alignment horizontal="left" wrapText="1"/>
    </xf>
    <xf numFmtId="0" fontId="13" fillId="0" borderId="73" xfId="1" applyFont="1" applyFill="1" applyBorder="1" applyAlignment="1" applyProtection="1">
      <alignment horizontal="left" wrapText="1"/>
    </xf>
    <xf numFmtId="0" fontId="13" fillId="0" borderId="68" xfId="1" applyFont="1" applyFill="1" applyBorder="1" applyAlignment="1" applyProtection="1">
      <alignment horizontal="left" vertical="center" wrapText="1"/>
    </xf>
    <xf numFmtId="0" fontId="13" fillId="0" borderId="67" xfId="1" applyFont="1" applyFill="1" applyBorder="1" applyAlignment="1" applyProtection="1">
      <alignment horizontal="left" vertical="center" wrapText="1"/>
    </xf>
    <xf numFmtId="0" fontId="13" fillId="0" borderId="69" xfId="1" applyFont="1" applyFill="1" applyBorder="1" applyAlignment="1" applyProtection="1">
      <alignment horizontal="left" vertical="center" wrapText="1"/>
    </xf>
    <xf numFmtId="0" fontId="12" fillId="0" borderId="17" xfId="1" applyFont="1" applyFill="1" applyBorder="1" applyAlignment="1" applyProtection="1">
      <alignment horizontal="left" vertical="center" wrapText="1"/>
    </xf>
    <xf numFmtId="0" fontId="12" fillId="0" borderId="18" xfId="1" applyFont="1" applyFill="1" applyBorder="1" applyAlignment="1" applyProtection="1">
      <alignment horizontal="left" vertical="center" wrapText="1"/>
    </xf>
    <xf numFmtId="0" fontId="5" fillId="0" borderId="22" xfId="1" applyFont="1" applyFill="1" applyBorder="1" applyAlignment="1" applyProtection="1">
      <alignment horizontal="center"/>
    </xf>
    <xf numFmtId="0" fontId="5" fillId="0" borderId="23" xfId="1" applyFont="1" applyFill="1" applyBorder="1" applyAlignment="1" applyProtection="1">
      <alignment horizontal="center"/>
    </xf>
    <xf numFmtId="0" fontId="5" fillId="0" borderId="24" xfId="1" applyFont="1" applyFill="1" applyBorder="1" applyAlignment="1" applyProtection="1">
      <alignment horizontal="center"/>
    </xf>
    <xf numFmtId="0" fontId="10" fillId="0" borderId="22" xfId="1" applyFont="1" applyFill="1" applyBorder="1" applyAlignment="1" applyProtection="1">
      <alignment horizontal="left" vertical="center" wrapText="1"/>
    </xf>
    <xf numFmtId="0" fontId="5" fillId="0" borderId="6" xfId="1" applyFont="1" applyFill="1" applyBorder="1" applyAlignment="1" applyProtection="1">
      <alignment horizontal="center"/>
    </xf>
    <xf numFmtId="0" fontId="12" fillId="0" borderId="12" xfId="1" applyFont="1" applyFill="1" applyBorder="1" applyAlignment="1" applyProtection="1">
      <alignment horizontal="left" vertical="center" wrapText="1"/>
    </xf>
    <xf numFmtId="0" fontId="12" fillId="0" borderId="13" xfId="1" applyFont="1" applyFill="1" applyBorder="1" applyAlignment="1" applyProtection="1">
      <alignment horizontal="left" vertical="center" wrapText="1"/>
    </xf>
    <xf numFmtId="0" fontId="13" fillId="0" borderId="77" xfId="1" applyFont="1" applyFill="1" applyBorder="1" applyAlignment="1" applyProtection="1">
      <alignment horizontal="left" vertical="center"/>
    </xf>
    <xf numFmtId="0" fontId="13" fillId="0" borderId="78" xfId="1" applyFont="1" applyFill="1" applyBorder="1" applyAlignment="1" applyProtection="1">
      <alignment horizontal="left" vertical="center"/>
    </xf>
    <xf numFmtId="0" fontId="13" fillId="0" borderId="0" xfId="1" applyFont="1" applyFill="1" applyBorder="1" applyAlignment="1" applyProtection="1">
      <alignment horizontal="left" vertical="center"/>
    </xf>
    <xf numFmtId="0" fontId="13" fillId="0" borderId="79" xfId="1" applyFont="1" applyFill="1" applyBorder="1" applyAlignment="1" applyProtection="1">
      <alignment horizontal="left" vertical="center"/>
    </xf>
    <xf numFmtId="2" fontId="14" fillId="0" borderId="4" xfId="1" applyNumberFormat="1" applyFont="1" applyFill="1" applyBorder="1" applyAlignment="1" applyProtection="1">
      <alignment horizontal="right" vertical="center"/>
    </xf>
    <xf numFmtId="2" fontId="14" fillId="0" borderId="5" xfId="1" applyNumberFormat="1" applyFont="1" applyFill="1" applyBorder="1" applyAlignment="1" applyProtection="1">
      <alignment horizontal="right" vertical="center"/>
    </xf>
    <xf numFmtId="0" fontId="10" fillId="0" borderId="3" xfId="1" applyFont="1" applyFill="1" applyBorder="1" applyAlignment="1" applyProtection="1">
      <alignment horizontal="center" vertical="center" wrapText="1"/>
    </xf>
    <xf numFmtId="0" fontId="11" fillId="0" borderId="4" xfId="1" applyFont="1" applyFill="1" applyBorder="1" applyAlignment="1" applyProtection="1">
      <alignment horizontal="center" vertical="center" wrapText="1"/>
    </xf>
    <xf numFmtId="0" fontId="11" fillId="0" borderId="5" xfId="1" applyFont="1" applyFill="1" applyBorder="1" applyAlignment="1" applyProtection="1">
      <alignment horizontal="center" vertical="center" wrapText="1"/>
    </xf>
    <xf numFmtId="0" fontId="2" fillId="4" borderId="8" xfId="2" applyFill="1" applyBorder="1" applyAlignment="1" applyProtection="1">
      <alignment horizontal="left" vertical="center" wrapText="1"/>
      <protection locked="0"/>
    </xf>
    <xf numFmtId="0" fontId="2" fillId="4" borderId="9" xfId="2" applyFill="1" applyBorder="1" applyAlignment="1" applyProtection="1">
      <alignment horizontal="left" vertical="center" wrapText="1"/>
      <protection locked="0"/>
    </xf>
    <xf numFmtId="0" fontId="2" fillId="4" borderId="2" xfId="2" applyFill="1" applyBorder="1" applyAlignment="1" applyProtection="1">
      <alignment horizontal="left" vertical="center" wrapText="1"/>
      <protection locked="0"/>
    </xf>
    <xf numFmtId="0" fontId="2" fillId="4" borderId="11" xfId="2" applyFill="1" applyBorder="1" applyAlignment="1" applyProtection="1">
      <alignment horizontal="left" vertical="center" wrapText="1"/>
      <protection locked="0"/>
    </xf>
    <xf numFmtId="0" fontId="0" fillId="4" borderId="13" xfId="2" applyFont="1" applyFill="1" applyBorder="1" applyAlignment="1" applyProtection="1">
      <alignment vertical="center" wrapText="1"/>
      <protection locked="0"/>
    </xf>
    <xf numFmtId="0" fontId="2" fillId="4" borderId="13" xfId="2" applyFill="1" applyBorder="1" applyAlignment="1" applyProtection="1">
      <alignment vertical="center" wrapText="1"/>
      <protection locked="0"/>
    </xf>
    <xf numFmtId="0" fontId="5" fillId="0" borderId="13" xfId="1" applyFont="1" applyFill="1" applyBorder="1" applyAlignment="1" applyProtection="1">
      <alignment horizontal="center" vertical="center" wrapText="1"/>
      <protection locked="0"/>
    </xf>
    <xf numFmtId="0" fontId="5" fillId="0" borderId="14" xfId="1" applyFont="1" applyFill="1" applyBorder="1" applyAlignment="1" applyProtection="1">
      <alignment horizontal="center" vertical="center" wrapText="1"/>
      <protection locked="0"/>
    </xf>
    <xf numFmtId="0" fontId="10" fillId="0" borderId="7" xfId="1" applyFont="1" applyFill="1" applyBorder="1" applyAlignment="1" applyProtection="1">
      <alignment horizontal="center" vertical="center" wrapText="1"/>
    </xf>
    <xf numFmtId="0" fontId="11" fillId="0" borderId="8" xfId="1" applyFont="1" applyFill="1" applyBorder="1" applyAlignment="1" applyProtection="1">
      <alignment horizontal="center" vertical="center" wrapText="1"/>
    </xf>
    <xf numFmtId="0" fontId="11" fillId="0" borderId="9" xfId="1" applyFont="1" applyFill="1" applyBorder="1" applyAlignment="1" applyProtection="1">
      <alignment horizontal="center" vertical="center" wrapText="1"/>
    </xf>
    <xf numFmtId="0" fontId="12" fillId="0" borderId="10" xfId="1" applyFont="1" applyFill="1" applyBorder="1" applyAlignment="1" applyProtection="1">
      <alignment vertical="center" wrapText="1"/>
    </xf>
    <xf numFmtId="0" fontId="12" fillId="0" borderId="2" xfId="1" applyFont="1" applyFill="1" applyAlignment="1" applyProtection="1">
      <alignment vertical="center" wrapText="1"/>
    </xf>
    <xf numFmtId="0" fontId="12" fillId="0" borderId="10" xfId="1" applyFont="1" applyFill="1" applyBorder="1" applyAlignment="1" applyProtection="1">
      <alignment horizontal="left" vertical="center" wrapText="1"/>
    </xf>
    <xf numFmtId="0" fontId="12" fillId="0" borderId="2" xfId="1" applyFont="1" applyFill="1" applyAlignment="1" applyProtection="1">
      <alignment horizontal="left" vertical="center" wrapText="1"/>
    </xf>
    <xf numFmtId="0" fontId="13" fillId="0" borderId="64" xfId="1" applyFont="1" applyFill="1" applyBorder="1" applyAlignment="1" applyProtection="1">
      <alignment horizontal="left" vertical="center" wrapText="1"/>
    </xf>
    <xf numFmtId="0" fontId="13" fillId="0" borderId="65" xfId="1" applyFont="1" applyFill="1" applyBorder="1" applyAlignment="1" applyProtection="1">
      <alignment horizontal="left" vertical="center" wrapText="1"/>
    </xf>
    <xf numFmtId="0" fontId="12" fillId="0" borderId="10" xfId="1" applyFont="1" applyFill="1" applyBorder="1" applyAlignment="1" applyProtection="1">
      <alignment horizontal="left" wrapText="1"/>
    </xf>
    <xf numFmtId="0" fontId="12" fillId="0" borderId="2" xfId="1" applyFont="1" applyFill="1" applyAlignment="1" applyProtection="1">
      <alignment horizontal="left" wrapText="1"/>
    </xf>
    <xf numFmtId="0" fontId="12" fillId="0" borderId="15" xfId="1" applyFont="1" applyFill="1" applyBorder="1" applyAlignment="1" applyProtection="1">
      <alignment horizontal="left" wrapText="1"/>
    </xf>
  </cellXfs>
  <cellStyles count="5">
    <cellStyle name="20 % - zvýraznenie3" xfId="2" builtinId="38"/>
    <cellStyle name="Čiarka" xfId="3" builtinId="3"/>
    <cellStyle name="Normálna" xfId="0" builtinId="0"/>
    <cellStyle name="Normálna 2" xfId="4" xr:uid="{4EDE72A7-876E-476D-AEAC-4D67D742C2C3}"/>
    <cellStyle name="Poznámka" xfId="1" builtinId="10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5</xdr:col>
          <xdr:colOff>1257300</xdr:colOff>
          <xdr:row>13</xdr:row>
          <xdr:rowOff>182880</xdr:rowOff>
        </xdr:to>
        <xdr:sp macro="" textlink="">
          <xdr:nvSpPr>
            <xdr:cNvPr id="13317" name="Check Box 5" hidden="1">
              <a:extLst>
                <a:ext uri="{63B3BB69-23CF-44E3-9099-C40C66FF867C}">
                  <a14:compatExt spid="_x0000_s13317"/>
                </a:ext>
                <a:ext uri="{FF2B5EF4-FFF2-40B4-BE49-F238E27FC236}">
                  <a16:creationId xmlns:a16="http://schemas.microsoft.com/office/drawing/2014/main" id="{00000000-0008-0000-0300-00000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350520</xdr:rowOff>
        </xdr:from>
        <xdr:to>
          <xdr:col>5</xdr:col>
          <xdr:colOff>1447800</xdr:colOff>
          <xdr:row>14</xdr:row>
          <xdr:rowOff>137160</xdr:rowOff>
        </xdr:to>
        <xdr:sp macro="" textlink="">
          <xdr:nvSpPr>
            <xdr:cNvPr id="13318" name="Check Box 6" hidden="1">
              <a:extLst>
                <a:ext uri="{63B3BB69-23CF-44E3-9099-C40C66FF867C}">
                  <a14:compatExt spid="_x0000_s13318"/>
                </a:ext>
                <a:ext uri="{FF2B5EF4-FFF2-40B4-BE49-F238E27FC236}">
                  <a16:creationId xmlns:a16="http://schemas.microsoft.com/office/drawing/2014/main" id="{00000000-0008-0000-0300-00000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312420</xdr:rowOff>
        </xdr:from>
        <xdr:to>
          <xdr:col>5</xdr:col>
          <xdr:colOff>1371600</xdr:colOff>
          <xdr:row>15</xdr:row>
          <xdr:rowOff>121920</xdr:rowOff>
        </xdr:to>
        <xdr:sp macro="" textlink="">
          <xdr:nvSpPr>
            <xdr:cNvPr id="13319" name="Check Box 7" hidden="1">
              <a:extLst>
                <a:ext uri="{63B3BB69-23CF-44E3-9099-C40C66FF867C}">
                  <a14:compatExt spid="_x0000_s13319"/>
                </a:ext>
                <a:ext uri="{FF2B5EF4-FFF2-40B4-BE49-F238E27FC236}">
                  <a16:creationId xmlns:a16="http://schemas.microsoft.com/office/drawing/2014/main" id="{00000000-0008-0000-0300-00000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5</xdr:col>
          <xdr:colOff>769620</xdr:colOff>
          <xdr:row>15</xdr:row>
          <xdr:rowOff>563880</xdr:rowOff>
        </xdr:to>
        <xdr:sp macro="" textlink="">
          <xdr:nvSpPr>
            <xdr:cNvPr id="13320" name="Check Box 8" hidden="1">
              <a:extLst>
                <a:ext uri="{63B3BB69-23CF-44E3-9099-C40C66FF867C}">
                  <a14:compatExt spid="_x0000_s13320"/>
                </a:ext>
                <a:ext uri="{FF2B5EF4-FFF2-40B4-BE49-F238E27FC236}">
                  <a16:creationId xmlns:a16="http://schemas.microsoft.com/office/drawing/2014/main" id="{00000000-0008-0000-0300-00000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7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3E9FE-FC84-48DC-97A1-A3F49022BD87}">
  <dimension ref="B1:K86"/>
  <sheetViews>
    <sheetView zoomScaleNormal="100" workbookViewId="0">
      <selection activeCell="I4" sqref="I4"/>
    </sheetView>
  </sheetViews>
  <sheetFormatPr defaultColWidth="9.109375" defaultRowHeight="14.4"/>
  <cols>
    <col min="1" max="1" width="3" style="14" customWidth="1"/>
    <col min="2" max="2" width="4.6640625" style="14" customWidth="1"/>
    <col min="3" max="3" width="38" style="15" customWidth="1"/>
    <col min="4" max="4" width="19" style="15" customWidth="1"/>
    <col min="5" max="5" width="15.6640625" style="15" customWidth="1"/>
    <col min="6" max="6" width="14.88671875" style="15" customWidth="1"/>
    <col min="7" max="7" width="19.88671875" style="15" customWidth="1"/>
    <col min="8" max="8" width="18.6640625" style="15" customWidth="1"/>
    <col min="9" max="9" width="14" style="14" customWidth="1"/>
    <col min="10" max="10" width="14.6640625" style="14" customWidth="1"/>
    <col min="11" max="11" width="12.88671875" style="14" bestFit="1" customWidth="1"/>
    <col min="12" max="12" width="15" style="14" bestFit="1" customWidth="1"/>
    <col min="13" max="13" width="16.88671875" style="14" customWidth="1"/>
    <col min="14" max="14" width="12.33203125" style="14" customWidth="1"/>
    <col min="15" max="15" width="15.44140625" style="14" bestFit="1" customWidth="1"/>
    <col min="16" max="16" width="12.6640625" style="14" customWidth="1"/>
    <col min="17" max="17" width="15.44140625" style="14" bestFit="1" customWidth="1"/>
    <col min="18" max="18" width="12.33203125" style="14" bestFit="1" customWidth="1"/>
    <col min="19" max="19" width="15" style="14" bestFit="1" customWidth="1"/>
    <col min="20" max="20" width="12.88671875" style="14" bestFit="1" customWidth="1"/>
    <col min="21" max="21" width="15" style="14" bestFit="1" customWidth="1"/>
    <col min="22" max="16384" width="9.109375" style="14"/>
  </cols>
  <sheetData>
    <row r="1" spans="2:11" ht="15" thickBot="1"/>
    <row r="2" spans="2:11" ht="36.75" customHeight="1" thickBot="1">
      <c r="B2" s="197" t="s">
        <v>0</v>
      </c>
      <c r="C2" s="198"/>
      <c r="D2" s="198"/>
      <c r="E2" s="198"/>
      <c r="F2" s="198"/>
      <c r="G2" s="198"/>
      <c r="H2" s="198"/>
      <c r="I2" s="198"/>
      <c r="J2" s="198"/>
      <c r="K2" s="199"/>
    </row>
    <row r="3" spans="2:11" ht="43.8" thickBot="1">
      <c r="B3" s="16" t="s">
        <v>1</v>
      </c>
      <c r="C3" s="17" t="s">
        <v>2</v>
      </c>
      <c r="D3" s="18" t="s">
        <v>3</v>
      </c>
      <c r="E3" s="18" t="s">
        <v>4</v>
      </c>
      <c r="F3" s="18" t="s">
        <v>5</v>
      </c>
      <c r="G3" s="18" t="s">
        <v>6</v>
      </c>
      <c r="H3" s="19" t="s">
        <v>7</v>
      </c>
      <c r="I3" s="20" t="s">
        <v>8</v>
      </c>
      <c r="J3" s="21" t="s">
        <v>9</v>
      </c>
      <c r="K3" s="21" t="s">
        <v>10</v>
      </c>
    </row>
    <row r="4" spans="2:11">
      <c r="B4" s="22">
        <v>1</v>
      </c>
      <c r="C4" s="23" t="s">
        <v>88</v>
      </c>
      <c r="D4" s="24" t="s">
        <v>76</v>
      </c>
      <c r="E4" s="25">
        <v>201000</v>
      </c>
      <c r="F4" s="25">
        <v>0</v>
      </c>
      <c r="G4" s="26" t="s">
        <v>11</v>
      </c>
      <c r="H4" s="27">
        <f>E4</f>
        <v>201000</v>
      </c>
      <c r="I4" s="28">
        <f>H4/H$14*100</f>
        <v>80.722891566265062</v>
      </c>
      <c r="J4" s="29">
        <f t="shared" ref="J4:J6" si="0">IF(I4=0,0,(E4-F4)/I4)</f>
        <v>2490</v>
      </c>
      <c r="K4" s="30">
        <f t="shared" ref="K4:K5" si="1">IF((E4-F4)=0,0,H4/(E4-F4))</f>
        <v>1</v>
      </c>
    </row>
    <row r="5" spans="2:11">
      <c r="B5" s="22">
        <v>2</v>
      </c>
      <c r="C5" s="31" t="s">
        <v>89</v>
      </c>
      <c r="D5" s="32" t="s">
        <v>91</v>
      </c>
      <c r="E5" s="33">
        <v>9</v>
      </c>
      <c r="F5" s="33">
        <v>4.3099999999999996</v>
      </c>
      <c r="G5" s="26" t="s">
        <v>87</v>
      </c>
      <c r="H5" s="34">
        <v>36000</v>
      </c>
      <c r="I5" s="35">
        <f t="shared" ref="I5:I13" si="2">H5/H$14*100</f>
        <v>14.457831325301203</v>
      </c>
      <c r="J5" s="29">
        <f t="shared" si="0"/>
        <v>0.32439166666666674</v>
      </c>
      <c r="K5" s="30">
        <f t="shared" si="1"/>
        <v>7675.9061833688693</v>
      </c>
    </row>
    <row r="6" spans="2:11" ht="28.8">
      <c r="B6" s="22">
        <v>3</v>
      </c>
      <c r="C6" s="31" t="s">
        <v>90</v>
      </c>
      <c r="D6" s="32" t="s">
        <v>92</v>
      </c>
      <c r="E6" s="33">
        <v>45</v>
      </c>
      <c r="F6" s="33">
        <v>0</v>
      </c>
      <c r="G6" s="26" t="s">
        <v>84</v>
      </c>
      <c r="H6" s="34">
        <v>12000</v>
      </c>
      <c r="I6" s="35">
        <f t="shared" si="2"/>
        <v>4.8192771084337354</v>
      </c>
      <c r="J6" s="29">
        <f t="shared" si="0"/>
        <v>9.3374999999999986</v>
      </c>
      <c r="K6" s="30">
        <f>IF((E6-F6)=0,0,H6/(E6-F6))</f>
        <v>266.66666666666669</v>
      </c>
    </row>
    <row r="7" spans="2:11">
      <c r="B7" s="22">
        <v>4</v>
      </c>
      <c r="C7" s="31" t="s">
        <v>12</v>
      </c>
      <c r="D7" s="32" t="s">
        <v>12</v>
      </c>
      <c r="E7" s="33">
        <v>0</v>
      </c>
      <c r="F7" s="33">
        <v>0</v>
      </c>
      <c r="G7" s="26" t="s">
        <v>84</v>
      </c>
      <c r="H7" s="34">
        <v>0</v>
      </c>
      <c r="I7" s="35">
        <f t="shared" si="2"/>
        <v>0</v>
      </c>
      <c r="J7" s="29">
        <f>IF(I7=0,0,(E7-F7)/I7)</f>
        <v>0</v>
      </c>
      <c r="K7" s="30">
        <f>IF((E7-F7)=0,0,H7/(E7-F7))</f>
        <v>0</v>
      </c>
    </row>
    <row r="8" spans="2:11">
      <c r="B8" s="22">
        <v>5</v>
      </c>
      <c r="C8" s="36" t="s">
        <v>12</v>
      </c>
      <c r="D8" s="37" t="s">
        <v>12</v>
      </c>
      <c r="E8" s="38">
        <v>0</v>
      </c>
      <c r="F8" s="33">
        <v>0</v>
      </c>
      <c r="G8" s="26" t="s">
        <v>84</v>
      </c>
      <c r="H8" s="39">
        <v>0</v>
      </c>
      <c r="I8" s="35">
        <f t="shared" si="2"/>
        <v>0</v>
      </c>
      <c r="J8" s="29">
        <f>IF(I8=0,0,(E8-F8)/I8)</f>
        <v>0</v>
      </c>
      <c r="K8" s="30">
        <f>IF((E8-F8)=0,0,H8/(E8-F8))</f>
        <v>0</v>
      </c>
    </row>
    <row r="9" spans="2:11">
      <c r="B9" s="22">
        <v>6</v>
      </c>
      <c r="C9" s="36" t="s">
        <v>12</v>
      </c>
      <c r="D9" s="37" t="s">
        <v>12</v>
      </c>
      <c r="E9" s="38">
        <v>0</v>
      </c>
      <c r="F9" s="33">
        <v>0</v>
      </c>
      <c r="G9" s="26" t="s">
        <v>84</v>
      </c>
      <c r="H9" s="39">
        <v>0</v>
      </c>
      <c r="I9" s="35">
        <f t="shared" si="2"/>
        <v>0</v>
      </c>
      <c r="J9" s="29">
        <f t="shared" ref="J9:J13" si="3">IF(I9=0,0,(E9-F9)/I9)</f>
        <v>0</v>
      </c>
      <c r="K9" s="30">
        <f t="shared" ref="K9:K13" si="4">IF((E9-F9)=0,0,H9/(E9-F9))</f>
        <v>0</v>
      </c>
    </row>
    <row r="10" spans="2:11">
      <c r="B10" s="22">
        <v>7</v>
      </c>
      <c r="C10" s="36" t="s">
        <v>12</v>
      </c>
      <c r="D10" s="37" t="s">
        <v>12</v>
      </c>
      <c r="E10" s="38">
        <v>0</v>
      </c>
      <c r="F10" s="33">
        <v>0</v>
      </c>
      <c r="G10" s="26" t="s">
        <v>84</v>
      </c>
      <c r="H10" s="39">
        <v>0</v>
      </c>
      <c r="I10" s="35">
        <f t="shared" si="2"/>
        <v>0</v>
      </c>
      <c r="J10" s="29">
        <f t="shared" si="3"/>
        <v>0</v>
      </c>
      <c r="K10" s="30">
        <f t="shared" si="4"/>
        <v>0</v>
      </c>
    </row>
    <row r="11" spans="2:11">
      <c r="B11" s="22">
        <v>8</v>
      </c>
      <c r="C11" s="36" t="s">
        <v>12</v>
      </c>
      <c r="D11" s="37" t="s">
        <v>12</v>
      </c>
      <c r="E11" s="38">
        <v>0</v>
      </c>
      <c r="F11" s="33">
        <v>0</v>
      </c>
      <c r="G11" s="26" t="s">
        <v>84</v>
      </c>
      <c r="H11" s="39">
        <v>0</v>
      </c>
      <c r="I11" s="35">
        <f t="shared" si="2"/>
        <v>0</v>
      </c>
      <c r="J11" s="29">
        <f t="shared" si="3"/>
        <v>0</v>
      </c>
      <c r="K11" s="30">
        <f t="shared" si="4"/>
        <v>0</v>
      </c>
    </row>
    <row r="12" spans="2:11">
      <c r="B12" s="22">
        <v>9</v>
      </c>
      <c r="C12" s="36" t="s">
        <v>12</v>
      </c>
      <c r="D12" s="37" t="s">
        <v>12</v>
      </c>
      <c r="E12" s="38">
        <v>0</v>
      </c>
      <c r="F12" s="33">
        <v>0</v>
      </c>
      <c r="G12" s="26" t="s">
        <v>84</v>
      </c>
      <c r="H12" s="39">
        <v>0</v>
      </c>
      <c r="I12" s="35">
        <f t="shared" si="2"/>
        <v>0</v>
      </c>
      <c r="J12" s="29">
        <f t="shared" si="3"/>
        <v>0</v>
      </c>
      <c r="K12" s="30">
        <f t="shared" si="4"/>
        <v>0</v>
      </c>
    </row>
    <row r="13" spans="2:11">
      <c r="B13" s="22">
        <v>10</v>
      </c>
      <c r="C13" s="36" t="s">
        <v>12</v>
      </c>
      <c r="D13" s="37" t="s">
        <v>12</v>
      </c>
      <c r="E13" s="38">
        <v>0</v>
      </c>
      <c r="F13" s="33">
        <v>0</v>
      </c>
      <c r="G13" s="26" t="s">
        <v>84</v>
      </c>
      <c r="H13" s="39">
        <v>0</v>
      </c>
      <c r="I13" s="35">
        <f t="shared" si="2"/>
        <v>0</v>
      </c>
      <c r="J13" s="29">
        <f t="shared" si="3"/>
        <v>0</v>
      </c>
      <c r="K13" s="30">
        <f t="shared" si="4"/>
        <v>0</v>
      </c>
    </row>
    <row r="14" spans="2:11" ht="15.75" customHeight="1" thickBot="1">
      <c r="B14" s="40"/>
      <c r="C14" s="41" t="s">
        <v>13</v>
      </c>
      <c r="D14" s="42"/>
      <c r="E14" s="42"/>
      <c r="F14" s="42"/>
      <c r="G14" s="42"/>
      <c r="H14" s="43">
        <f>SUM(H4:H13)</f>
        <v>249000</v>
      </c>
      <c r="I14" s="44">
        <f>SUM(I4:I13)</f>
        <v>100</v>
      </c>
      <c r="J14" s="45"/>
      <c r="K14" s="46"/>
    </row>
    <row r="15" spans="2:11" ht="15" thickBot="1"/>
    <row r="16" spans="2:11" ht="35.25" customHeight="1">
      <c r="B16" s="183" t="s">
        <v>14</v>
      </c>
      <c r="C16" s="184"/>
      <c r="D16" s="184"/>
      <c r="E16" s="184"/>
      <c r="F16" s="184"/>
      <c r="G16" s="184"/>
      <c r="H16" s="184"/>
      <c r="I16" s="184"/>
      <c r="J16" s="185"/>
    </row>
    <row r="17" spans="2:10">
      <c r="B17" s="186" t="s">
        <v>1</v>
      </c>
      <c r="C17" s="202" t="s">
        <v>2</v>
      </c>
      <c r="D17" s="200" t="s">
        <v>15</v>
      </c>
      <c r="E17" s="188" t="s">
        <v>16</v>
      </c>
      <c r="F17" s="189"/>
      <c r="G17" s="190" t="s">
        <v>17</v>
      </c>
      <c r="H17" s="191"/>
      <c r="I17" s="192" t="s">
        <v>18</v>
      </c>
      <c r="J17" s="189"/>
    </row>
    <row r="18" spans="2:10">
      <c r="B18" s="187"/>
      <c r="C18" s="203"/>
      <c r="D18" s="201"/>
      <c r="E18" s="47" t="s">
        <v>16</v>
      </c>
      <c r="F18" s="48" t="s">
        <v>19</v>
      </c>
      <c r="G18" s="49" t="s">
        <v>17</v>
      </c>
      <c r="H18" s="50" t="s">
        <v>20</v>
      </c>
      <c r="I18" s="51" t="s">
        <v>18</v>
      </c>
      <c r="J18" s="48" t="s">
        <v>21</v>
      </c>
    </row>
    <row r="19" spans="2:10">
      <c r="B19" s="47" cm="1">
        <f t="array" ref="B19:B28">B4:B13</f>
        <v>1</v>
      </c>
      <c r="C19" s="52" t="str" cm="1">
        <f t="array" ref="C19:C28">C4:C13</f>
        <v>Cena za predmet zákazky</v>
      </c>
      <c r="D19" s="53" cm="1">
        <f t="array" ref="D19:D28">I4:I13</f>
        <v>80.722891566265062</v>
      </c>
      <c r="E19" s="54">
        <v>30000</v>
      </c>
      <c r="F19" s="55">
        <f>IF(I4=100,"0",IF((E4-F4)=0,0,(IF(G4="čím menej, tým lepšie",(I4*(E4-E19)/(E4-F4)),(I4*(E19-F4)/(E4-F4))))))</f>
        <v>68.674698795180717</v>
      </c>
      <c r="G19" s="54">
        <v>15000</v>
      </c>
      <c r="H19" s="56">
        <f>IF(I4=100,"0",IF((E4-F4)=0,0,IF(G4="čím menej, tým lepšie",(I4*(E4-G19)/(E4-F4)),(I4*(G19-F4)/(E4-F4)))))</f>
        <v>74.698795180722897</v>
      </c>
      <c r="I19" s="54">
        <v>0</v>
      </c>
      <c r="J19" s="55">
        <f>IF(I4=100,"0",IF((E4-F4)=0,0,IF(G4="čím menej, tým lepšie",(I4*(E4-I19)/(E4-F4)),(I4*(I19-F4)/(E4-F4)))))</f>
        <v>80.722891566265062</v>
      </c>
    </row>
    <row r="20" spans="2:10" ht="15" customHeight="1">
      <c r="B20" s="47">
        <v>2</v>
      </c>
      <c r="C20" s="52" t="str">
        <v>Garantovaná hodinová mzda pracovníka</v>
      </c>
      <c r="D20" s="53">
        <v>14.457831325301203</v>
      </c>
      <c r="E20" s="54">
        <v>9</v>
      </c>
      <c r="F20" s="55">
        <f>IF(I5=100,"0",IF((E5-F5)=0,0,(IF(G5="čím menej, tým lepšie",(I5*(E5-E20)/(E5-F5)),(I5*(E20-F5)/(E5-F5))))))</f>
        <v>14.457831325301203</v>
      </c>
      <c r="G20" s="54">
        <v>8</v>
      </c>
      <c r="H20" s="56">
        <f t="shared" ref="H20:H28" si="5">IF(I5=100,"0",IF((E5-F5)=0,0,IF(G5="čím menej, tým lepšie",(I5*(E5-G20)/(E5-F5)),(I5*(G20-F5)/(E5-F5)))))</f>
        <v>11.375138078968325</v>
      </c>
      <c r="I20" s="54">
        <v>7</v>
      </c>
      <c r="J20" s="55">
        <f t="shared" ref="J20:J28" si="6">IF(I5=100,"0",IF((E5-F5)=0,0,IF(G5="čím menej, tým lepšie",(I5*(E5-I20)/(E5-F5)),(I5*(I20-F5)/(E5-F5)))))</f>
        <v>8.2924448326354447</v>
      </c>
    </row>
    <row r="21" spans="2:10" ht="15.75" customHeight="1">
      <c r="B21" s="47">
        <v>3</v>
      </c>
      <c r="C21" s="52" t="str">
        <v>Skúsenosti zodpovedného zástupcu poskytovateľa služieb</v>
      </c>
      <c r="D21" s="53">
        <v>4.8192771084337354</v>
      </c>
      <c r="E21" s="54">
        <v>0</v>
      </c>
      <c r="F21" s="55">
        <f>IF(I6=100,"0",IF((E6-F6)=0,0,(IF(G6="čím menej, tým lepšie",(I6*(E6-E21)/(E6-F6)),(I6*(E21-F6)/(E6-F6))))))</f>
        <v>0</v>
      </c>
      <c r="G21" s="54">
        <v>0</v>
      </c>
      <c r="H21" s="56">
        <f t="shared" si="5"/>
        <v>0</v>
      </c>
      <c r="I21" s="54">
        <v>0</v>
      </c>
      <c r="J21" s="55">
        <f t="shared" si="6"/>
        <v>0</v>
      </c>
    </row>
    <row r="22" spans="2:10">
      <c r="B22" s="47">
        <v>4</v>
      </c>
      <c r="C22" s="52" t="str">
        <v>...</v>
      </c>
      <c r="D22" s="53">
        <v>0</v>
      </c>
      <c r="E22" s="54">
        <v>0</v>
      </c>
      <c r="F22" s="55">
        <f>IF(I7=100,"0",IF((E7-F7)=0,0,(IF(G7="čím menej, tým lepšie",(I7*(E7-E22)/(E7-F7)),(I7*(E22-F7)/(E7-F7))))))</f>
        <v>0</v>
      </c>
      <c r="G22" s="54">
        <v>0</v>
      </c>
      <c r="H22" s="56">
        <f t="shared" si="5"/>
        <v>0</v>
      </c>
      <c r="I22" s="54">
        <v>0</v>
      </c>
      <c r="J22" s="55">
        <f t="shared" si="6"/>
        <v>0</v>
      </c>
    </row>
    <row r="23" spans="2:10">
      <c r="B23" s="47">
        <v>5</v>
      </c>
      <c r="C23" s="52" t="str">
        <v>...</v>
      </c>
      <c r="D23" s="53">
        <v>0</v>
      </c>
      <c r="E23" s="54">
        <v>0</v>
      </c>
      <c r="F23" s="55">
        <f>IF(I8=100,"0",IF((E8-F8)=0,0,(IF(G8="čím menej, tým lepšie",(I8*(E8-E23)/(E8-F8)),(I8*(E23-F8)/(E8-F8))))))</f>
        <v>0</v>
      </c>
      <c r="G23" s="54">
        <v>0</v>
      </c>
      <c r="H23" s="56">
        <f t="shared" si="5"/>
        <v>0</v>
      </c>
      <c r="I23" s="54">
        <v>0</v>
      </c>
      <c r="J23" s="55">
        <f t="shared" si="6"/>
        <v>0</v>
      </c>
    </row>
    <row r="24" spans="2:10">
      <c r="B24" s="47">
        <v>6</v>
      </c>
      <c r="C24" s="52" t="str">
        <v>...</v>
      </c>
      <c r="D24" s="53">
        <v>0</v>
      </c>
      <c r="E24" s="54">
        <v>0</v>
      </c>
      <c r="F24" s="55">
        <f t="shared" ref="F24:F28" si="7">IF(I9=100,"0",IF((E9-F9)=0,0,(IF(G9="čím menej, tým lepšie",(I9*(E9-E24)/(E9-F9)),(I9*(E24-F9)/(E9-F9))))))</f>
        <v>0</v>
      </c>
      <c r="G24" s="54">
        <v>0</v>
      </c>
      <c r="H24" s="56">
        <f t="shared" si="5"/>
        <v>0</v>
      </c>
      <c r="I24" s="54">
        <v>0</v>
      </c>
      <c r="J24" s="55">
        <f t="shared" si="6"/>
        <v>0</v>
      </c>
    </row>
    <row r="25" spans="2:10">
      <c r="B25" s="47">
        <v>7</v>
      </c>
      <c r="C25" s="52" t="str">
        <v>...</v>
      </c>
      <c r="D25" s="53">
        <v>0</v>
      </c>
      <c r="E25" s="54">
        <v>0</v>
      </c>
      <c r="F25" s="55">
        <f t="shared" si="7"/>
        <v>0</v>
      </c>
      <c r="G25" s="54">
        <v>0</v>
      </c>
      <c r="H25" s="56">
        <f t="shared" si="5"/>
        <v>0</v>
      </c>
      <c r="I25" s="54">
        <v>0</v>
      </c>
      <c r="J25" s="55">
        <f t="shared" si="6"/>
        <v>0</v>
      </c>
    </row>
    <row r="26" spans="2:10">
      <c r="B26" s="47">
        <v>8</v>
      </c>
      <c r="C26" s="52" t="str">
        <v>...</v>
      </c>
      <c r="D26" s="53">
        <v>0</v>
      </c>
      <c r="E26" s="54">
        <v>0</v>
      </c>
      <c r="F26" s="55">
        <f t="shared" si="7"/>
        <v>0</v>
      </c>
      <c r="G26" s="54">
        <v>0</v>
      </c>
      <c r="H26" s="56">
        <f t="shared" si="5"/>
        <v>0</v>
      </c>
      <c r="I26" s="54">
        <v>0</v>
      </c>
      <c r="J26" s="55">
        <f t="shared" si="6"/>
        <v>0</v>
      </c>
    </row>
    <row r="27" spans="2:10">
      <c r="B27" s="47">
        <v>9</v>
      </c>
      <c r="C27" s="52" t="str">
        <v>...</v>
      </c>
      <c r="D27" s="53">
        <v>0</v>
      </c>
      <c r="E27" s="54">
        <v>0</v>
      </c>
      <c r="F27" s="55">
        <f t="shared" si="7"/>
        <v>0</v>
      </c>
      <c r="G27" s="54">
        <v>0</v>
      </c>
      <c r="H27" s="56">
        <f t="shared" si="5"/>
        <v>0</v>
      </c>
      <c r="I27" s="54">
        <v>0</v>
      </c>
      <c r="J27" s="55">
        <f t="shared" si="6"/>
        <v>0</v>
      </c>
    </row>
    <row r="28" spans="2:10" ht="15" thickBot="1">
      <c r="B28" s="57">
        <v>10</v>
      </c>
      <c r="C28" s="58" t="str">
        <v>...</v>
      </c>
      <c r="D28" s="59">
        <v>0</v>
      </c>
      <c r="E28" s="54">
        <v>0</v>
      </c>
      <c r="F28" s="55">
        <f t="shared" si="7"/>
        <v>0</v>
      </c>
      <c r="G28" s="54">
        <v>0</v>
      </c>
      <c r="H28" s="56">
        <f t="shared" si="5"/>
        <v>0</v>
      </c>
      <c r="I28" s="54">
        <v>0</v>
      </c>
      <c r="J28" s="55">
        <f t="shared" si="6"/>
        <v>0</v>
      </c>
    </row>
    <row r="29" spans="2:10" ht="15" thickBot="1">
      <c r="B29" s="60"/>
      <c r="C29" s="61" t="s">
        <v>22</v>
      </c>
      <c r="D29" s="62">
        <f>SUM(_xlfn.ANCHORARRAY(D19))</f>
        <v>100</v>
      </c>
      <c r="E29" s="61"/>
      <c r="F29" s="63">
        <f>SUM(F19:F28)</f>
        <v>83.132530120481917</v>
      </c>
      <c r="G29" s="64"/>
      <c r="H29" s="63">
        <f t="shared" ref="H29:J29" si="8">SUM(H19:H28)</f>
        <v>86.073933259691216</v>
      </c>
      <c r="I29" s="64"/>
      <c r="J29" s="65">
        <f t="shared" si="8"/>
        <v>89.015336398900502</v>
      </c>
    </row>
    <row r="31" spans="2:10" ht="36.75" customHeight="1">
      <c r="B31" s="204" t="s">
        <v>23</v>
      </c>
      <c r="C31" s="205"/>
      <c r="D31" s="205"/>
      <c r="E31" s="205"/>
      <c r="F31" s="205"/>
      <c r="G31" s="205"/>
      <c r="H31" s="205"/>
      <c r="I31" s="205"/>
      <c r="J31" s="206"/>
    </row>
    <row r="32" spans="2:10">
      <c r="B32" s="207" t="s">
        <v>1</v>
      </c>
      <c r="C32" s="209" t="s">
        <v>2</v>
      </c>
      <c r="D32" s="210"/>
      <c r="E32" s="217" t="s">
        <v>16</v>
      </c>
      <c r="F32" s="218"/>
      <c r="G32" s="215" t="s">
        <v>17</v>
      </c>
      <c r="H32" s="216"/>
      <c r="I32" s="213" t="s">
        <v>18</v>
      </c>
      <c r="J32" s="214"/>
    </row>
    <row r="33" spans="2:10">
      <c r="B33" s="208"/>
      <c r="C33" s="211"/>
      <c r="D33" s="212"/>
      <c r="E33" s="66" t="s">
        <v>16</v>
      </c>
      <c r="F33" s="67" t="s">
        <v>24</v>
      </c>
      <c r="G33" s="68" t="s">
        <v>17</v>
      </c>
      <c r="H33" s="69" t="s">
        <v>25</v>
      </c>
      <c r="I33" s="70" t="s">
        <v>18</v>
      </c>
      <c r="J33" s="71" t="s">
        <v>21</v>
      </c>
    </row>
    <row r="34" spans="2:10">
      <c r="B34" s="72" cm="1">
        <f t="array" ref="B34:B43">B19:B28</f>
        <v>1</v>
      </c>
      <c r="C34" s="73" t="str" cm="1">
        <f t="array" ref="C34:C43">C19:C28</f>
        <v>Cena za predmet zákazky</v>
      </c>
      <c r="D34" s="74"/>
      <c r="E34" s="75">
        <f>E19</f>
        <v>30000</v>
      </c>
      <c r="F34" s="76">
        <f>E34</f>
        <v>30000</v>
      </c>
      <c r="G34" s="75">
        <f>G19</f>
        <v>15000</v>
      </c>
      <c r="H34" s="77">
        <f>G34</f>
        <v>15000</v>
      </c>
      <c r="I34" s="75">
        <f>I19</f>
        <v>0</v>
      </c>
      <c r="J34" s="78">
        <f>I34</f>
        <v>0</v>
      </c>
    </row>
    <row r="35" spans="2:10">
      <c r="B35" s="72">
        <v>2</v>
      </c>
      <c r="C35" s="73" t="str">
        <v>Garantovaná hodinová mzda pracovníka</v>
      </c>
      <c r="D35" s="74"/>
      <c r="E35" s="75">
        <f>E20</f>
        <v>9</v>
      </c>
      <c r="F35" s="76">
        <f>IF(I5=100,"0",IF((E5-F5)=0,0,IF(G5="čím menej, tým lepšie",(-(E5-E35)*(H5/(E5-F5))),-(E35-F5)*(H5/(E5-F5)))))</f>
        <v>-36000</v>
      </c>
      <c r="G35" s="75">
        <f t="shared" ref="G35:G43" si="9">G20</f>
        <v>8</v>
      </c>
      <c r="H35" s="77">
        <f>IF(I5=100,"0",IF((E5-F5)=0,0,IF(G5="čím menej, tým lepšie",(-(E5-G35)*(H5/(E5-F5))),-(G35-F5)*(H5/(E5-F5)))))</f>
        <v>-28324.093816631132</v>
      </c>
      <c r="I35" s="75">
        <f t="shared" ref="I35:I43" si="10">I20</f>
        <v>7</v>
      </c>
      <c r="J35" s="78">
        <f>IF(I5=100,"0",IF((E5-F5)=0,0,IF(G5="čím menej, tým lepšie",(-(E5-I35)*(H5/(E5-F5))),-(I35-F5)*(H5/(E5-F5)))))</f>
        <v>-20648.18763326226</v>
      </c>
    </row>
    <row r="36" spans="2:10">
      <c r="B36" s="72">
        <v>3</v>
      </c>
      <c r="C36" s="73" t="str">
        <v>Skúsenosti zodpovedného zástupcu poskytovateľa služieb</v>
      </c>
      <c r="D36" s="74"/>
      <c r="E36" s="75">
        <f t="shared" ref="E36:E43" si="11">E21</f>
        <v>0</v>
      </c>
      <c r="F36" s="76">
        <f t="shared" ref="F36:F43" si="12">IF(I6=100,"0",IF((E6-F6)=0,0,IF(G6="čím menej, tým lepšie",(-(E6-E36)*(H6/(E6-F6))),-(E36-F6)*(H6/(E6-F6)))))</f>
        <v>0</v>
      </c>
      <c r="G36" s="75">
        <f t="shared" si="9"/>
        <v>0</v>
      </c>
      <c r="H36" s="77">
        <f t="shared" ref="H36:H43" si="13">IF(I6=100,"0",IF((E6-F6)=0,0,IF(G6="čím menej, tým lepšie",(-(E6-G36)*(H6/(E6-F6))),-(G36-F6)*(H6/(E6-F6)))))</f>
        <v>0</v>
      </c>
      <c r="I36" s="75">
        <f>I21</f>
        <v>0</v>
      </c>
      <c r="J36" s="78">
        <f t="shared" ref="J36:J43" si="14">IF(I6=100,"0",IF((E6-F6)=0,0,IF(G6="čím menej, tým lepšie",(-(E6-I36)*(H6/(E6-F6))),-(I36-F6)*(H6/(E6-F6)))))</f>
        <v>0</v>
      </c>
    </row>
    <row r="37" spans="2:10">
      <c r="B37" s="72">
        <v>4</v>
      </c>
      <c r="C37" s="73" t="str">
        <v>...</v>
      </c>
      <c r="D37" s="74"/>
      <c r="E37" s="75">
        <f t="shared" si="11"/>
        <v>0</v>
      </c>
      <c r="F37" s="76">
        <f t="shared" si="12"/>
        <v>0</v>
      </c>
      <c r="G37" s="75">
        <f t="shared" si="9"/>
        <v>0</v>
      </c>
      <c r="H37" s="77">
        <f t="shared" si="13"/>
        <v>0</v>
      </c>
      <c r="I37" s="75">
        <f t="shared" si="10"/>
        <v>0</v>
      </c>
      <c r="J37" s="78">
        <f t="shared" si="14"/>
        <v>0</v>
      </c>
    </row>
    <row r="38" spans="2:10">
      <c r="B38" s="72">
        <v>5</v>
      </c>
      <c r="C38" s="73" t="str">
        <v>...</v>
      </c>
      <c r="D38" s="74"/>
      <c r="E38" s="75">
        <f t="shared" si="11"/>
        <v>0</v>
      </c>
      <c r="F38" s="76">
        <f t="shared" si="12"/>
        <v>0</v>
      </c>
      <c r="G38" s="75">
        <f t="shared" si="9"/>
        <v>0</v>
      </c>
      <c r="H38" s="77">
        <f t="shared" si="13"/>
        <v>0</v>
      </c>
      <c r="I38" s="75">
        <f t="shared" si="10"/>
        <v>0</v>
      </c>
      <c r="J38" s="78">
        <f t="shared" si="14"/>
        <v>0</v>
      </c>
    </row>
    <row r="39" spans="2:10">
      <c r="B39" s="72">
        <v>6</v>
      </c>
      <c r="C39" s="73" t="str">
        <v>...</v>
      </c>
      <c r="D39" s="74"/>
      <c r="E39" s="75">
        <f t="shared" si="11"/>
        <v>0</v>
      </c>
      <c r="F39" s="76">
        <f t="shared" si="12"/>
        <v>0</v>
      </c>
      <c r="G39" s="75">
        <f t="shared" si="9"/>
        <v>0</v>
      </c>
      <c r="H39" s="77">
        <f t="shared" si="13"/>
        <v>0</v>
      </c>
      <c r="I39" s="75">
        <f t="shared" si="10"/>
        <v>0</v>
      </c>
      <c r="J39" s="78">
        <f t="shared" si="14"/>
        <v>0</v>
      </c>
    </row>
    <row r="40" spans="2:10">
      <c r="B40" s="72">
        <v>7</v>
      </c>
      <c r="C40" s="73" t="str">
        <v>...</v>
      </c>
      <c r="D40" s="74"/>
      <c r="E40" s="75">
        <f t="shared" si="11"/>
        <v>0</v>
      </c>
      <c r="F40" s="76">
        <f t="shared" si="12"/>
        <v>0</v>
      </c>
      <c r="G40" s="75">
        <f t="shared" si="9"/>
        <v>0</v>
      </c>
      <c r="H40" s="77">
        <f t="shared" si="13"/>
        <v>0</v>
      </c>
      <c r="I40" s="75">
        <f t="shared" si="10"/>
        <v>0</v>
      </c>
      <c r="J40" s="78">
        <f t="shared" si="14"/>
        <v>0</v>
      </c>
    </row>
    <row r="41" spans="2:10" ht="15.75" customHeight="1">
      <c r="B41" s="72">
        <v>8</v>
      </c>
      <c r="C41" s="73" t="str">
        <v>...</v>
      </c>
      <c r="D41" s="74"/>
      <c r="E41" s="75">
        <f t="shared" si="11"/>
        <v>0</v>
      </c>
      <c r="F41" s="76">
        <f t="shared" si="12"/>
        <v>0</v>
      </c>
      <c r="G41" s="75">
        <f t="shared" si="9"/>
        <v>0</v>
      </c>
      <c r="H41" s="77">
        <f t="shared" si="13"/>
        <v>0</v>
      </c>
      <c r="I41" s="75">
        <f t="shared" si="10"/>
        <v>0</v>
      </c>
      <c r="J41" s="78">
        <f t="shared" si="14"/>
        <v>0</v>
      </c>
    </row>
    <row r="42" spans="2:10">
      <c r="B42" s="72">
        <v>9</v>
      </c>
      <c r="C42" s="73" t="str">
        <v>...</v>
      </c>
      <c r="D42" s="74"/>
      <c r="E42" s="75">
        <f t="shared" si="11"/>
        <v>0</v>
      </c>
      <c r="F42" s="76">
        <f t="shared" si="12"/>
        <v>0</v>
      </c>
      <c r="G42" s="75">
        <f t="shared" si="9"/>
        <v>0</v>
      </c>
      <c r="H42" s="77">
        <f t="shared" si="13"/>
        <v>0</v>
      </c>
      <c r="I42" s="75">
        <f t="shared" si="10"/>
        <v>0</v>
      </c>
      <c r="J42" s="78">
        <f t="shared" si="14"/>
        <v>0</v>
      </c>
    </row>
    <row r="43" spans="2:10" ht="15" thickBot="1">
      <c r="B43" s="79">
        <v>10</v>
      </c>
      <c r="C43" s="80" t="str">
        <v>...</v>
      </c>
      <c r="D43" s="81"/>
      <c r="E43" s="75">
        <f t="shared" si="11"/>
        <v>0</v>
      </c>
      <c r="F43" s="76">
        <f t="shared" si="12"/>
        <v>0</v>
      </c>
      <c r="G43" s="75">
        <f t="shared" si="9"/>
        <v>0</v>
      </c>
      <c r="H43" s="77">
        <f t="shared" si="13"/>
        <v>0</v>
      </c>
      <c r="I43" s="75">
        <f t="shared" si="10"/>
        <v>0</v>
      </c>
      <c r="J43" s="78">
        <f t="shared" si="14"/>
        <v>0</v>
      </c>
    </row>
    <row r="44" spans="2:10" ht="15" thickBot="1">
      <c r="B44" s="82"/>
      <c r="C44" s="83" t="s">
        <v>22</v>
      </c>
      <c r="D44" s="83"/>
      <c r="E44" s="83"/>
      <c r="F44" s="84">
        <f>SUM(F34:F43)</f>
        <v>-6000</v>
      </c>
      <c r="G44" s="84"/>
      <c r="H44" s="84">
        <f t="shared" ref="H44:J44" si="15">SUM(H34:H43)</f>
        <v>-13324.093816631132</v>
      </c>
      <c r="I44" s="84"/>
      <c r="J44" s="85">
        <f t="shared" si="15"/>
        <v>-20648.18763326226</v>
      </c>
    </row>
    <row r="45" spans="2:10" ht="15" thickBot="1"/>
    <row r="46" spans="2:10" ht="36" customHeight="1" thickBot="1">
      <c r="B46" s="193" t="s">
        <v>75</v>
      </c>
      <c r="C46" s="194"/>
      <c r="D46" s="194"/>
      <c r="E46" s="194"/>
      <c r="F46" s="194"/>
      <c r="G46" s="194"/>
      <c r="H46" s="194"/>
      <c r="I46" s="194"/>
      <c r="J46" s="195"/>
    </row>
    <row r="47" spans="2:10" ht="15.75" customHeight="1">
      <c r="B47" s="177" t="s">
        <v>1</v>
      </c>
      <c r="C47" s="173" t="s">
        <v>2</v>
      </c>
      <c r="D47" s="174"/>
      <c r="E47" s="177" t="s">
        <v>16</v>
      </c>
      <c r="F47" s="178"/>
      <c r="G47" s="179" t="s">
        <v>17</v>
      </c>
      <c r="H47" s="180"/>
      <c r="I47" s="181" t="s">
        <v>18</v>
      </c>
      <c r="J47" s="182"/>
    </row>
    <row r="48" spans="2:10">
      <c r="B48" s="196"/>
      <c r="C48" s="175"/>
      <c r="D48" s="176"/>
      <c r="E48" s="86" t="s">
        <v>16</v>
      </c>
      <c r="F48" s="87" t="s">
        <v>24</v>
      </c>
      <c r="G48" s="88" t="s">
        <v>17</v>
      </c>
      <c r="H48" s="89" t="s">
        <v>25</v>
      </c>
      <c r="I48" s="90" t="s">
        <v>18</v>
      </c>
      <c r="J48" s="91" t="s">
        <v>21</v>
      </c>
    </row>
    <row r="49" spans="2:10">
      <c r="B49" s="92" cm="1">
        <f t="array" ref="B49:B58">B34:B43</f>
        <v>1</v>
      </c>
      <c r="C49" s="93" t="str" cm="1">
        <f t="array" ref="C49:C58">C34:C43</f>
        <v>Cena za predmet zákazky</v>
      </c>
      <c r="D49" s="94"/>
      <c r="E49" s="75">
        <f>E19</f>
        <v>30000</v>
      </c>
      <c r="F49" s="95">
        <f>E49</f>
        <v>30000</v>
      </c>
      <c r="G49" s="75">
        <f>G19</f>
        <v>15000</v>
      </c>
      <c r="H49" s="96">
        <f>G49</f>
        <v>15000</v>
      </c>
      <c r="I49" s="75">
        <f>I19</f>
        <v>0</v>
      </c>
      <c r="J49" s="97">
        <f>I49</f>
        <v>0</v>
      </c>
    </row>
    <row r="50" spans="2:10">
      <c r="B50" s="92">
        <v>2</v>
      </c>
      <c r="C50" s="93" t="str">
        <v>Garantovaná hodinová mzda pracovníka</v>
      </c>
      <c r="D50" s="94"/>
      <c r="E50" s="75">
        <f t="shared" ref="E50:E58" si="16">E20</f>
        <v>9</v>
      </c>
      <c r="F50" s="95">
        <f>IF(I5=100,"0",IF((E5-F5)=0,0,IF(G5="čím menej, tým lepšie",((E50-F5)*H5/(E5-F5)),(E5-E50)*(H5/(E5-F5)))))</f>
        <v>0</v>
      </c>
      <c r="G50" s="75">
        <f t="shared" ref="G50:G58" si="17">G20</f>
        <v>8</v>
      </c>
      <c r="H50" s="96">
        <f>IF(I5=100,"0",IF((E5-F5)=0,0,IF(G5="čím menej, tým lepšie",((G50-F5)*H5/(E5-F5)),(E5-G50)*(H5/(E5-F5)))))</f>
        <v>7675.9061833688693</v>
      </c>
      <c r="I50" s="75">
        <f t="shared" ref="I50:I58" si="18">I20</f>
        <v>7</v>
      </c>
      <c r="J50" s="97">
        <f>IF(I5=100,"0",IF((E5-F5)=0,0,IF(G5="čím menej, tým lepšie",((I50-F5)*H5/(E5-F5)),(E5-I50)*(H5/(E5-F5)))))</f>
        <v>15351.812366737739</v>
      </c>
    </row>
    <row r="51" spans="2:10">
      <c r="B51" s="92">
        <v>3</v>
      </c>
      <c r="C51" s="93" t="str">
        <v>Skúsenosti zodpovedného zástupcu poskytovateľa služieb</v>
      </c>
      <c r="D51" s="94"/>
      <c r="E51" s="75">
        <f t="shared" si="16"/>
        <v>0</v>
      </c>
      <c r="F51" s="95">
        <f t="shared" ref="F51:F58" si="19">IF(I6=100,"0",IF((E6-F6)=0,0,IF(G6="čím menej, tým lepšie",((E51-F6)*H6/(E6-F6)),(E6-E51)*(H6/(E6-F6)))))</f>
        <v>12000</v>
      </c>
      <c r="G51" s="75">
        <f t="shared" si="17"/>
        <v>0</v>
      </c>
      <c r="H51" s="96">
        <f t="shared" ref="H51:H58" si="20">IF(I6=100,"0",IF((E6-F6)=0,0,IF(G6="čím menej, tým lepšie",((G51-F6)*H6/(E6-F6)),(E6-G51)*(H6/(E6-F6)))))</f>
        <v>12000</v>
      </c>
      <c r="I51" s="75">
        <f t="shared" si="18"/>
        <v>0</v>
      </c>
      <c r="J51" s="97">
        <f t="shared" ref="J51:J58" si="21">IF(I6=100,"0",IF((E6-F6)=0,0,IF(G6="čím menej, tým lepšie",((I51-F6)*H6/(E6-F6)),(E6-I51)*(H6/(E6-F6)))))</f>
        <v>12000</v>
      </c>
    </row>
    <row r="52" spans="2:10" ht="15.75" customHeight="1">
      <c r="B52" s="92">
        <v>4</v>
      </c>
      <c r="C52" s="93" t="str">
        <v>...</v>
      </c>
      <c r="D52" s="94"/>
      <c r="E52" s="75">
        <f t="shared" si="16"/>
        <v>0</v>
      </c>
      <c r="F52" s="95">
        <f t="shared" si="19"/>
        <v>0</v>
      </c>
      <c r="G52" s="75">
        <f t="shared" si="17"/>
        <v>0</v>
      </c>
      <c r="H52" s="96">
        <f t="shared" si="20"/>
        <v>0</v>
      </c>
      <c r="I52" s="75">
        <f t="shared" si="18"/>
        <v>0</v>
      </c>
      <c r="J52" s="97">
        <f t="shared" si="21"/>
        <v>0</v>
      </c>
    </row>
    <row r="53" spans="2:10">
      <c r="B53" s="92">
        <v>5</v>
      </c>
      <c r="C53" s="93" t="str">
        <v>...</v>
      </c>
      <c r="D53" s="94"/>
      <c r="E53" s="75">
        <f t="shared" si="16"/>
        <v>0</v>
      </c>
      <c r="F53" s="95">
        <f t="shared" si="19"/>
        <v>0</v>
      </c>
      <c r="G53" s="75">
        <f t="shared" si="17"/>
        <v>0</v>
      </c>
      <c r="H53" s="96">
        <f t="shared" si="20"/>
        <v>0</v>
      </c>
      <c r="I53" s="75">
        <f t="shared" si="18"/>
        <v>0</v>
      </c>
      <c r="J53" s="97">
        <f t="shared" si="21"/>
        <v>0</v>
      </c>
    </row>
    <row r="54" spans="2:10">
      <c r="B54" s="92">
        <v>6</v>
      </c>
      <c r="C54" s="93" t="str">
        <v>...</v>
      </c>
      <c r="D54" s="94"/>
      <c r="E54" s="75">
        <f t="shared" si="16"/>
        <v>0</v>
      </c>
      <c r="F54" s="95">
        <f t="shared" si="19"/>
        <v>0</v>
      </c>
      <c r="G54" s="75">
        <f t="shared" si="17"/>
        <v>0</v>
      </c>
      <c r="H54" s="96">
        <f t="shared" si="20"/>
        <v>0</v>
      </c>
      <c r="I54" s="75">
        <f t="shared" si="18"/>
        <v>0</v>
      </c>
      <c r="J54" s="97">
        <f t="shared" si="21"/>
        <v>0</v>
      </c>
    </row>
    <row r="55" spans="2:10">
      <c r="B55" s="92">
        <v>7</v>
      </c>
      <c r="C55" s="93" t="str">
        <v>...</v>
      </c>
      <c r="D55" s="94"/>
      <c r="E55" s="75">
        <f t="shared" si="16"/>
        <v>0</v>
      </c>
      <c r="F55" s="95">
        <f t="shared" si="19"/>
        <v>0</v>
      </c>
      <c r="G55" s="75">
        <f t="shared" si="17"/>
        <v>0</v>
      </c>
      <c r="H55" s="96">
        <f t="shared" si="20"/>
        <v>0</v>
      </c>
      <c r="I55" s="75">
        <f t="shared" si="18"/>
        <v>0</v>
      </c>
      <c r="J55" s="97">
        <f t="shared" si="21"/>
        <v>0</v>
      </c>
    </row>
    <row r="56" spans="2:10">
      <c r="B56" s="92">
        <v>8</v>
      </c>
      <c r="C56" s="93" t="str">
        <v>...</v>
      </c>
      <c r="D56" s="94"/>
      <c r="E56" s="75">
        <f t="shared" si="16"/>
        <v>0</v>
      </c>
      <c r="F56" s="95">
        <f t="shared" si="19"/>
        <v>0</v>
      </c>
      <c r="G56" s="75">
        <f t="shared" si="17"/>
        <v>0</v>
      </c>
      <c r="H56" s="96">
        <f t="shared" si="20"/>
        <v>0</v>
      </c>
      <c r="I56" s="75">
        <f t="shared" si="18"/>
        <v>0</v>
      </c>
      <c r="J56" s="97">
        <f t="shared" si="21"/>
        <v>0</v>
      </c>
    </row>
    <row r="57" spans="2:10">
      <c r="B57" s="92">
        <v>9</v>
      </c>
      <c r="C57" s="93" t="str">
        <v>...</v>
      </c>
      <c r="D57" s="94"/>
      <c r="E57" s="75">
        <f t="shared" si="16"/>
        <v>0</v>
      </c>
      <c r="F57" s="95">
        <f t="shared" si="19"/>
        <v>0</v>
      </c>
      <c r="G57" s="75">
        <f t="shared" si="17"/>
        <v>0</v>
      </c>
      <c r="H57" s="96">
        <f t="shared" si="20"/>
        <v>0</v>
      </c>
      <c r="I57" s="75">
        <f t="shared" si="18"/>
        <v>0</v>
      </c>
      <c r="J57" s="97">
        <f t="shared" si="21"/>
        <v>0</v>
      </c>
    </row>
    <row r="58" spans="2:10" ht="15" thickBot="1">
      <c r="B58" s="98">
        <v>10</v>
      </c>
      <c r="C58" s="99" t="str">
        <v>...</v>
      </c>
      <c r="D58" s="100"/>
      <c r="E58" s="75">
        <f t="shared" si="16"/>
        <v>0</v>
      </c>
      <c r="F58" s="95">
        <f t="shared" si="19"/>
        <v>0</v>
      </c>
      <c r="G58" s="75">
        <f t="shared" si="17"/>
        <v>0</v>
      </c>
      <c r="H58" s="96">
        <f t="shared" si="20"/>
        <v>0</v>
      </c>
      <c r="I58" s="75">
        <f t="shared" si="18"/>
        <v>0</v>
      </c>
      <c r="J58" s="97">
        <f t="shared" si="21"/>
        <v>0</v>
      </c>
    </row>
    <row r="59" spans="2:10" ht="15" thickBot="1">
      <c r="B59" s="101"/>
      <c r="C59" s="102" t="s">
        <v>22</v>
      </c>
      <c r="D59" s="102"/>
      <c r="E59" s="102"/>
      <c r="F59" s="103">
        <f>SUM(F49:F58)</f>
        <v>42000</v>
      </c>
      <c r="G59" s="103"/>
      <c r="H59" s="103">
        <f t="shared" ref="H59:J59" si="22">SUM(H49:H58)</f>
        <v>34675.906183368868</v>
      </c>
      <c r="I59" s="103"/>
      <c r="J59" s="104">
        <f t="shared" si="22"/>
        <v>27351.812366737737</v>
      </c>
    </row>
    <row r="61" spans="2:10">
      <c r="C61" s="14"/>
      <c r="D61" s="14"/>
      <c r="E61" s="14"/>
      <c r="F61" s="14"/>
      <c r="G61" s="14"/>
      <c r="H61" s="14"/>
    </row>
    <row r="62" spans="2:10" ht="30.75" customHeight="1">
      <c r="C62" s="14"/>
      <c r="D62" s="14"/>
      <c r="E62" s="14"/>
      <c r="F62" s="14"/>
      <c r="G62" s="14"/>
      <c r="H62" s="14"/>
    </row>
    <row r="63" spans="2:10">
      <c r="C63" s="14"/>
      <c r="D63" s="14"/>
      <c r="E63" s="14"/>
      <c r="F63" s="14"/>
      <c r="G63" s="14"/>
      <c r="H63" s="14"/>
    </row>
    <row r="64" spans="2:10">
      <c r="C64" s="14"/>
      <c r="D64" s="14"/>
      <c r="E64" s="14"/>
      <c r="F64" s="14"/>
      <c r="G64" s="14"/>
      <c r="H64" s="14"/>
    </row>
    <row r="65" s="14" customFormat="1"/>
    <row r="66" s="14" customFormat="1"/>
    <row r="67" s="14" customFormat="1"/>
    <row r="68" s="14" customFormat="1"/>
    <row r="69" s="14" customFormat="1"/>
    <row r="70" s="14" customFormat="1"/>
    <row r="71" s="14" customFormat="1"/>
    <row r="72" s="14" customFormat="1" ht="15.75" customHeight="1"/>
    <row r="73" s="14" customFormat="1" ht="15.75" customHeight="1"/>
    <row r="74" s="14" customFormat="1"/>
    <row r="75" s="14" customFormat="1"/>
    <row r="76" s="14" customFormat="1"/>
    <row r="77" s="14" customFormat="1"/>
    <row r="78" s="14" customFormat="1"/>
    <row r="79" s="14" customFormat="1"/>
    <row r="80" s="14" customFormat="1"/>
    <row r="81" s="14" customFormat="1"/>
    <row r="82" s="14" customFormat="1"/>
    <row r="83" s="14" customFormat="1"/>
    <row r="84" s="14" customFormat="1"/>
    <row r="85" s="14" customFormat="1"/>
    <row r="86" s="14" customFormat="1"/>
  </sheetData>
  <sheetProtection algorithmName="SHA-512" hashValue="pqZF5b2hxy5yF3iQZznPNLLDd9raKNx08fikCkyH3mdipEP5m7AuHOHrRxJP1e1vwSAnShrUF4YlOQCB+cbd5w==" saltValue="9lAhXbNrPBqdLCQa6TtKUw==" spinCount="100000" sheet="1" objects="1" scenarios="1"/>
  <mergeCells count="20">
    <mergeCell ref="B2:K2"/>
    <mergeCell ref="D17:D18"/>
    <mergeCell ref="C17:C18"/>
    <mergeCell ref="B31:J31"/>
    <mergeCell ref="B32:B33"/>
    <mergeCell ref="C32:D33"/>
    <mergeCell ref="I32:J32"/>
    <mergeCell ref="G32:H32"/>
    <mergeCell ref="E32:F32"/>
    <mergeCell ref="C47:D48"/>
    <mergeCell ref="E47:F47"/>
    <mergeCell ref="G47:H47"/>
    <mergeCell ref="I47:J47"/>
    <mergeCell ref="B16:J16"/>
    <mergeCell ref="B17:B18"/>
    <mergeCell ref="E17:F17"/>
    <mergeCell ref="G17:H17"/>
    <mergeCell ref="I17:J17"/>
    <mergeCell ref="B46:J46"/>
    <mergeCell ref="B47:B48"/>
  </mergeCells>
  <dataValidations xWindow="534" yWindow="640" count="2">
    <dataValidation type="list" allowBlank="1" showInputMessage="1" showErrorMessage="1" sqref="G4:G13" xr:uid="{C656F54A-B47B-4E42-9306-C4487E9856F3}">
      <mc:AlternateContent xmlns:x12ac="http://schemas.microsoft.com/office/spreadsheetml/2011/1/ac" xmlns:mc="http://schemas.openxmlformats.org/markup-compatibility/2006">
        <mc:Choice Requires="x12ac">
          <x12ac:list>žiadna,"čím menej, tým lepšie","čím viac, tým lepšie"</x12ac:list>
        </mc:Choice>
        <mc:Fallback>
          <formula1>"žiadna,čím menej, tým lepšie,čím viac, tým lepšie"</formula1>
        </mc:Fallback>
      </mc:AlternateContent>
    </dataValidation>
    <dataValidation type="whole" allowBlank="1" showInputMessage="1" showErrorMessage="1" errorTitle="Chyba" error="Vložili ste hodnotu mimo povolený rozsah" promptTitle="info" prompt="Do tohto poľa môžete vložiť len hodnotu od minima do maxima daného kritéria" sqref="E35:E43" xr:uid="{19587B58-372E-43D5-B421-BFFEBD4CD82B}">
      <formula1>F5</formula1>
      <formula2>E5</formula2>
    </dataValidation>
  </dataValidations>
  <pageMargins left="0.7" right="0.7" top="0.75" bottom="0.75" header="0.3" footer="0.3"/>
  <pageSetup paperSize="9" orientation="portrait" r:id="rId1"/>
  <ignoredErrors>
    <ignoredError sqref="F34 F49 H49 J49 G34:G43 I34:I35 G49:G58 I49:I58 I37:I43 F35:F43 H34:H43 F50:F58 H50:H58" formula="1"/>
    <ignoredError sqref="H4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EDE5C-4627-0247-BC2F-3966018FC044}">
  <dimension ref="B1:L39"/>
  <sheetViews>
    <sheetView tabSelected="1" topLeftCell="A21" zoomScale="90" zoomScaleNormal="90" workbookViewId="0">
      <selection activeCell="H26" sqref="H26:H30"/>
    </sheetView>
  </sheetViews>
  <sheetFormatPr defaultColWidth="9.109375" defaultRowHeight="15.6"/>
  <cols>
    <col min="1" max="1" width="5.88671875" style="118" customWidth="1"/>
    <col min="2" max="2" width="58.88671875" style="118" customWidth="1"/>
    <col min="3" max="12" width="20.88671875" style="118" customWidth="1"/>
    <col min="13" max="16384" width="9.109375" style="118"/>
  </cols>
  <sheetData>
    <row r="1" spans="2:12" ht="16.2" thickBot="1"/>
    <row r="2" spans="2:12" ht="54.9" customHeight="1" thickBot="1">
      <c r="B2" s="220" t="s">
        <v>139</v>
      </c>
      <c r="C2" s="221"/>
      <c r="D2" s="221"/>
      <c r="E2" s="221"/>
      <c r="F2" s="221"/>
      <c r="G2" s="221"/>
      <c r="H2" s="221"/>
      <c r="I2" s="221"/>
      <c r="J2" s="221"/>
      <c r="K2" s="221"/>
      <c r="L2" s="222"/>
    </row>
    <row r="3" spans="2:12" ht="54.9" customHeight="1">
      <c r="B3" s="223" t="s">
        <v>140</v>
      </c>
      <c r="C3" s="223"/>
      <c r="D3" s="223"/>
      <c r="E3" s="223"/>
      <c r="F3" s="223"/>
      <c r="G3" s="223"/>
      <c r="H3" s="223"/>
      <c r="I3" s="223"/>
      <c r="J3" s="223"/>
      <c r="K3" s="223"/>
      <c r="L3" s="223"/>
    </row>
    <row r="4" spans="2:12" ht="54.9" customHeight="1">
      <c r="B4" s="224" t="s">
        <v>141</v>
      </c>
      <c r="C4" s="225"/>
      <c r="D4" s="225"/>
      <c r="E4" s="225"/>
      <c r="F4" s="225"/>
      <c r="G4" s="225"/>
      <c r="H4" s="225"/>
      <c r="I4" s="225"/>
      <c r="J4" s="225"/>
      <c r="K4" s="225"/>
      <c r="L4" s="226"/>
    </row>
    <row r="5" spans="2:12" ht="54.9" customHeight="1">
      <c r="B5" s="119" t="s">
        <v>38</v>
      </c>
      <c r="C5" s="120" t="s">
        <v>142</v>
      </c>
      <c r="D5" s="121" t="s">
        <v>143</v>
      </c>
      <c r="E5" s="120" t="s">
        <v>144</v>
      </c>
      <c r="F5" s="120" t="s">
        <v>96</v>
      </c>
      <c r="G5" s="120" t="s">
        <v>145</v>
      </c>
      <c r="H5" s="120" t="s">
        <v>146</v>
      </c>
      <c r="I5" s="120" t="s">
        <v>97</v>
      </c>
      <c r="J5" s="120" t="s">
        <v>147</v>
      </c>
      <c r="K5" s="120" t="s">
        <v>99</v>
      </c>
      <c r="L5" s="120" t="s">
        <v>100</v>
      </c>
    </row>
    <row r="6" spans="2:12" ht="54.9" customHeight="1">
      <c r="B6" s="122" t="s">
        <v>148</v>
      </c>
      <c r="C6" s="123">
        <f>64+15</f>
        <v>79</v>
      </c>
      <c r="D6" s="124">
        <f>1652+273</f>
        <v>1925</v>
      </c>
      <c r="E6" s="123" t="s">
        <v>101</v>
      </c>
      <c r="F6" s="122" t="s">
        <v>149</v>
      </c>
      <c r="G6" s="125" t="s">
        <v>150</v>
      </c>
      <c r="H6" s="139"/>
      <c r="I6" s="126">
        <f>(D6*H6)*12</f>
        <v>0</v>
      </c>
      <c r="J6" s="126">
        <f>I6*1.2</f>
        <v>0</v>
      </c>
      <c r="K6" s="126">
        <f>I6*48</f>
        <v>0</v>
      </c>
      <c r="L6" s="127">
        <f>K6*1.2</f>
        <v>0</v>
      </c>
    </row>
    <row r="7" spans="2:12" ht="54.9" customHeight="1">
      <c r="B7" s="122" t="s">
        <v>151</v>
      </c>
      <c r="C7" s="123">
        <v>28</v>
      </c>
      <c r="D7" s="124">
        <f>611.75+71</f>
        <v>682.75</v>
      </c>
      <c r="E7" s="123" t="s">
        <v>101</v>
      </c>
      <c r="F7" s="125" t="s">
        <v>136</v>
      </c>
      <c r="G7" s="125" t="s">
        <v>106</v>
      </c>
      <c r="H7" s="139"/>
      <c r="I7" s="126">
        <f>(D7*H7)*30</f>
        <v>0</v>
      </c>
      <c r="J7" s="126">
        <f t="shared" ref="J7:J23" si="0">I7*1.2</f>
        <v>0</v>
      </c>
      <c r="K7" s="126">
        <f t="shared" ref="K7:K22" si="1">I7*48</f>
        <v>0</v>
      </c>
      <c r="L7" s="127">
        <f t="shared" ref="L7:L23" si="2">K7*1.2</f>
        <v>0</v>
      </c>
    </row>
    <row r="8" spans="2:12" ht="54.9" customHeight="1">
      <c r="B8" s="122" t="s">
        <v>152</v>
      </c>
      <c r="C8" s="123">
        <v>4</v>
      </c>
      <c r="D8" s="124">
        <v>135.18</v>
      </c>
      <c r="E8" s="123" t="s">
        <v>101</v>
      </c>
      <c r="F8" s="125" t="s">
        <v>136</v>
      </c>
      <c r="G8" s="125" t="s">
        <v>106</v>
      </c>
      <c r="H8" s="139"/>
      <c r="I8" s="126">
        <f>(D8*H8)*30</f>
        <v>0</v>
      </c>
      <c r="J8" s="126">
        <f t="shared" si="0"/>
        <v>0</v>
      </c>
      <c r="K8" s="126">
        <f t="shared" si="1"/>
        <v>0</v>
      </c>
      <c r="L8" s="127">
        <f t="shared" si="2"/>
        <v>0</v>
      </c>
    </row>
    <row r="9" spans="2:12" ht="54.9" customHeight="1">
      <c r="B9" s="122" t="s">
        <v>103</v>
      </c>
      <c r="C9" s="123">
        <v>5</v>
      </c>
      <c r="D9" s="124">
        <v>95</v>
      </c>
      <c r="E9" s="123" t="s">
        <v>101</v>
      </c>
      <c r="F9" s="122" t="s">
        <v>104</v>
      </c>
      <c r="G9" s="125" t="s">
        <v>102</v>
      </c>
      <c r="H9" s="139"/>
      <c r="I9" s="126">
        <f t="shared" ref="I9:I16" si="3">(D9*H9)*4</f>
        <v>0</v>
      </c>
      <c r="J9" s="126">
        <f t="shared" si="0"/>
        <v>0</v>
      </c>
      <c r="K9" s="126">
        <f t="shared" si="1"/>
        <v>0</v>
      </c>
      <c r="L9" s="127">
        <f t="shared" si="2"/>
        <v>0</v>
      </c>
    </row>
    <row r="10" spans="2:12" ht="54.9" customHeight="1">
      <c r="B10" s="122" t="s">
        <v>105</v>
      </c>
      <c r="C10" s="123">
        <v>18</v>
      </c>
      <c r="D10" s="124">
        <f>754.9627</f>
        <v>754.96270000000004</v>
      </c>
      <c r="E10" s="123" t="s">
        <v>101</v>
      </c>
      <c r="F10" s="125" t="s">
        <v>153</v>
      </c>
      <c r="G10" s="125" t="s">
        <v>106</v>
      </c>
      <c r="H10" s="139"/>
      <c r="I10" s="126">
        <f>(D10*H10)*30</f>
        <v>0</v>
      </c>
      <c r="J10" s="126">
        <f t="shared" si="0"/>
        <v>0</v>
      </c>
      <c r="K10" s="126">
        <f t="shared" si="1"/>
        <v>0</v>
      </c>
      <c r="L10" s="127">
        <f t="shared" si="2"/>
        <v>0</v>
      </c>
    </row>
    <row r="11" spans="2:12" ht="54.9" customHeight="1">
      <c r="B11" s="122" t="s">
        <v>154</v>
      </c>
      <c r="C11" s="123">
        <v>52</v>
      </c>
      <c r="D11" s="124">
        <v>0</v>
      </c>
      <c r="E11" s="123" t="s">
        <v>101</v>
      </c>
      <c r="F11" s="125" t="s">
        <v>136</v>
      </c>
      <c r="G11" s="125" t="s">
        <v>106</v>
      </c>
      <c r="H11" s="139"/>
      <c r="I11" s="126">
        <f>(D11*H11)*30</f>
        <v>0</v>
      </c>
      <c r="J11" s="126">
        <f t="shared" si="0"/>
        <v>0</v>
      </c>
      <c r="K11" s="126">
        <f t="shared" si="1"/>
        <v>0</v>
      </c>
      <c r="L11" s="127">
        <f t="shared" si="2"/>
        <v>0</v>
      </c>
    </row>
    <row r="12" spans="2:12" ht="54.9" customHeight="1">
      <c r="B12" s="122" t="s">
        <v>155</v>
      </c>
      <c r="C12" s="123">
        <v>1</v>
      </c>
      <c r="D12" s="124">
        <v>1</v>
      </c>
      <c r="E12" s="123" t="s">
        <v>107</v>
      </c>
      <c r="F12" s="125"/>
      <c r="G12" s="125" t="s">
        <v>106</v>
      </c>
      <c r="H12" s="139"/>
      <c r="I12" s="126">
        <f>(D12*H12)*30</f>
        <v>0</v>
      </c>
      <c r="J12" s="126">
        <f t="shared" si="0"/>
        <v>0</v>
      </c>
      <c r="K12" s="126">
        <f t="shared" si="1"/>
        <v>0</v>
      </c>
      <c r="L12" s="127">
        <f t="shared" si="2"/>
        <v>0</v>
      </c>
    </row>
    <row r="13" spans="2:12" ht="54.9" customHeight="1">
      <c r="B13" s="122" t="s">
        <v>108</v>
      </c>
      <c r="C13" s="123">
        <v>5</v>
      </c>
      <c r="D13" s="124">
        <v>695.58</v>
      </c>
      <c r="E13" s="123" t="s">
        <v>101</v>
      </c>
      <c r="F13" s="125"/>
      <c r="G13" s="125" t="s">
        <v>109</v>
      </c>
      <c r="H13" s="139"/>
      <c r="I13" s="126">
        <f t="shared" si="3"/>
        <v>0</v>
      </c>
      <c r="J13" s="126">
        <f t="shared" si="0"/>
        <v>0</v>
      </c>
      <c r="K13" s="126">
        <f t="shared" si="1"/>
        <v>0</v>
      </c>
      <c r="L13" s="127">
        <f t="shared" si="2"/>
        <v>0</v>
      </c>
    </row>
    <row r="14" spans="2:12" ht="54.9" customHeight="1">
      <c r="B14" s="122" t="s">
        <v>110</v>
      </c>
      <c r="C14" s="123">
        <v>7</v>
      </c>
      <c r="D14" s="124">
        <v>0</v>
      </c>
      <c r="E14" s="123" t="s">
        <v>101</v>
      </c>
      <c r="F14" s="125" t="s">
        <v>156</v>
      </c>
      <c r="G14" s="125" t="s">
        <v>150</v>
      </c>
      <c r="H14" s="139"/>
      <c r="I14" s="126">
        <f>(D14*H14)*12</f>
        <v>0</v>
      </c>
      <c r="J14" s="126">
        <f t="shared" si="0"/>
        <v>0</v>
      </c>
      <c r="K14" s="126">
        <f t="shared" si="1"/>
        <v>0</v>
      </c>
      <c r="L14" s="127">
        <f t="shared" si="2"/>
        <v>0</v>
      </c>
    </row>
    <row r="15" spans="2:12" ht="54.9" customHeight="1">
      <c r="B15" s="122" t="s">
        <v>157</v>
      </c>
      <c r="C15" s="123">
        <v>5</v>
      </c>
      <c r="D15" s="124">
        <v>5</v>
      </c>
      <c r="E15" s="123" t="s">
        <v>111</v>
      </c>
      <c r="F15" s="125"/>
      <c r="G15" s="125" t="s">
        <v>102</v>
      </c>
      <c r="H15" s="139"/>
      <c r="I15" s="126">
        <f t="shared" si="3"/>
        <v>0</v>
      </c>
      <c r="J15" s="126">
        <f t="shared" si="0"/>
        <v>0</v>
      </c>
      <c r="K15" s="126">
        <f t="shared" si="1"/>
        <v>0</v>
      </c>
      <c r="L15" s="127">
        <f t="shared" si="2"/>
        <v>0</v>
      </c>
    </row>
    <row r="16" spans="2:12" ht="54.9" customHeight="1">
      <c r="B16" s="122" t="s">
        <v>158</v>
      </c>
      <c r="C16" s="123">
        <f>188+35</f>
        <v>223</v>
      </c>
      <c r="D16" s="124">
        <v>188</v>
      </c>
      <c r="E16" s="123" t="s">
        <v>111</v>
      </c>
      <c r="F16" s="125" t="s">
        <v>159</v>
      </c>
      <c r="G16" s="125" t="s">
        <v>102</v>
      </c>
      <c r="H16" s="139"/>
      <c r="I16" s="126">
        <f t="shared" si="3"/>
        <v>0</v>
      </c>
      <c r="J16" s="126">
        <f t="shared" si="0"/>
        <v>0</v>
      </c>
      <c r="K16" s="126">
        <f t="shared" si="1"/>
        <v>0</v>
      </c>
      <c r="L16" s="127">
        <f t="shared" si="2"/>
        <v>0</v>
      </c>
    </row>
    <row r="17" spans="2:12" ht="54.9" customHeight="1">
      <c r="B17" s="122" t="s">
        <v>112</v>
      </c>
      <c r="C17" s="123">
        <f>294+15</f>
        <v>309</v>
      </c>
      <c r="D17" s="124">
        <v>294</v>
      </c>
      <c r="E17" s="123" t="s">
        <v>111</v>
      </c>
      <c r="F17" s="125"/>
      <c r="G17" s="125" t="s">
        <v>109</v>
      </c>
      <c r="H17" s="139"/>
      <c r="I17" s="126">
        <f>(D17*H17)</f>
        <v>0</v>
      </c>
      <c r="J17" s="126">
        <f t="shared" si="0"/>
        <v>0</v>
      </c>
      <c r="K17" s="126">
        <f t="shared" si="1"/>
        <v>0</v>
      </c>
      <c r="L17" s="127">
        <f t="shared" si="2"/>
        <v>0</v>
      </c>
    </row>
    <row r="18" spans="2:12" ht="54.9" customHeight="1">
      <c r="B18" s="122" t="s">
        <v>160</v>
      </c>
      <c r="C18" s="123">
        <v>3</v>
      </c>
      <c r="D18" s="124">
        <v>36</v>
      </c>
      <c r="E18" s="123" t="s">
        <v>101</v>
      </c>
      <c r="F18" s="125" t="s">
        <v>161</v>
      </c>
      <c r="G18" s="125" t="s">
        <v>106</v>
      </c>
      <c r="H18" s="139"/>
      <c r="I18" s="126">
        <f>(D18*H18)*30</f>
        <v>0</v>
      </c>
      <c r="J18" s="126">
        <f t="shared" si="0"/>
        <v>0</v>
      </c>
      <c r="K18" s="126">
        <f t="shared" si="1"/>
        <v>0</v>
      </c>
      <c r="L18" s="127">
        <f t="shared" si="2"/>
        <v>0</v>
      </c>
    </row>
    <row r="19" spans="2:12" ht="54.9" customHeight="1">
      <c r="B19" s="122" t="s">
        <v>162</v>
      </c>
      <c r="C19" s="123" t="s">
        <v>107</v>
      </c>
      <c r="D19" s="124">
        <v>1</v>
      </c>
      <c r="E19" s="123" t="s">
        <v>107</v>
      </c>
      <c r="F19" s="125"/>
      <c r="G19" s="125" t="s">
        <v>109</v>
      </c>
      <c r="H19" s="139"/>
      <c r="I19" s="126">
        <f>(D19*H19)</f>
        <v>0</v>
      </c>
      <c r="J19" s="126">
        <f t="shared" si="0"/>
        <v>0</v>
      </c>
      <c r="K19" s="126">
        <f t="shared" si="1"/>
        <v>0</v>
      </c>
      <c r="L19" s="127">
        <f t="shared" si="2"/>
        <v>0</v>
      </c>
    </row>
    <row r="20" spans="2:12" ht="54.9" customHeight="1">
      <c r="B20" s="122" t="s">
        <v>163</v>
      </c>
      <c r="C20" s="123">
        <f>70+15</f>
        <v>85</v>
      </c>
      <c r="D20" s="124">
        <v>70</v>
      </c>
      <c r="E20" s="123" t="s">
        <v>111</v>
      </c>
      <c r="F20" s="125" t="s">
        <v>159</v>
      </c>
      <c r="G20" s="125" t="s">
        <v>106</v>
      </c>
      <c r="H20" s="139"/>
      <c r="I20" s="126">
        <f>(D20*H20)*30</f>
        <v>0</v>
      </c>
      <c r="J20" s="126">
        <f t="shared" si="0"/>
        <v>0</v>
      </c>
      <c r="K20" s="126">
        <f t="shared" si="1"/>
        <v>0</v>
      </c>
      <c r="L20" s="127">
        <f t="shared" si="2"/>
        <v>0</v>
      </c>
    </row>
    <row r="21" spans="2:12" ht="54.9" customHeight="1">
      <c r="B21" s="122" t="s">
        <v>113</v>
      </c>
      <c r="C21" s="123">
        <f>(191+15)*2</f>
        <v>412</v>
      </c>
      <c r="D21" s="124">
        <v>382</v>
      </c>
      <c r="E21" s="123" t="s">
        <v>111</v>
      </c>
      <c r="F21" s="125"/>
      <c r="G21" s="125" t="s">
        <v>106</v>
      </c>
      <c r="H21" s="139"/>
      <c r="I21" s="126">
        <f>(D21*H21)*30</f>
        <v>0</v>
      </c>
      <c r="J21" s="126">
        <f t="shared" si="0"/>
        <v>0</v>
      </c>
      <c r="K21" s="126">
        <f t="shared" si="1"/>
        <v>0</v>
      </c>
      <c r="L21" s="127">
        <f t="shared" si="2"/>
        <v>0</v>
      </c>
    </row>
    <row r="22" spans="2:12" ht="82.5" customHeight="1">
      <c r="B22" s="122" t="s">
        <v>164</v>
      </c>
      <c r="C22" s="123" t="s">
        <v>107</v>
      </c>
      <c r="D22" s="128">
        <v>1</v>
      </c>
      <c r="E22" s="123" t="s">
        <v>107</v>
      </c>
      <c r="F22" s="123"/>
      <c r="G22" s="129" t="s">
        <v>106</v>
      </c>
      <c r="H22" s="139"/>
      <c r="I22" s="126">
        <f>(D22*H22)*30</f>
        <v>0</v>
      </c>
      <c r="J22" s="126">
        <f t="shared" si="0"/>
        <v>0</v>
      </c>
      <c r="K22" s="126">
        <f t="shared" si="1"/>
        <v>0</v>
      </c>
      <c r="L22" s="127">
        <f t="shared" si="2"/>
        <v>0</v>
      </c>
    </row>
    <row r="23" spans="2:12" ht="54.9" customHeight="1">
      <c r="B23" s="122"/>
      <c r="C23" s="123"/>
      <c r="D23" s="130"/>
      <c r="E23" s="123"/>
      <c r="F23" s="125"/>
      <c r="G23" s="125"/>
      <c r="H23" s="125"/>
      <c r="I23" s="126">
        <f>SUM(I6:I22)</f>
        <v>0</v>
      </c>
      <c r="J23" s="125">
        <f t="shared" si="0"/>
        <v>0</v>
      </c>
      <c r="K23" s="126">
        <f>SUM(K6:K22)</f>
        <v>0</v>
      </c>
      <c r="L23" s="127">
        <f t="shared" si="2"/>
        <v>0</v>
      </c>
    </row>
    <row r="24" spans="2:12" ht="54.9" customHeight="1">
      <c r="B24" s="224" t="s">
        <v>165</v>
      </c>
      <c r="C24" s="225"/>
      <c r="D24" s="225"/>
      <c r="E24" s="225"/>
      <c r="F24" s="225"/>
      <c r="G24" s="225"/>
      <c r="H24" s="225"/>
      <c r="I24" s="225"/>
      <c r="J24" s="225"/>
      <c r="K24" s="225"/>
      <c r="L24" s="226"/>
    </row>
    <row r="25" spans="2:12" ht="54.9" customHeight="1">
      <c r="B25" s="119" t="s">
        <v>38</v>
      </c>
      <c r="C25" s="120" t="s">
        <v>142</v>
      </c>
      <c r="D25" s="120" t="s">
        <v>166</v>
      </c>
      <c r="E25" s="120" t="s">
        <v>144</v>
      </c>
      <c r="F25" s="120" t="s">
        <v>96</v>
      </c>
      <c r="G25" s="120" t="s">
        <v>145</v>
      </c>
      <c r="H25" s="120" t="s">
        <v>167</v>
      </c>
      <c r="I25" s="120" t="s">
        <v>168</v>
      </c>
      <c r="J25" s="120" t="s">
        <v>169</v>
      </c>
      <c r="K25" s="120" t="s">
        <v>99</v>
      </c>
      <c r="L25" s="120" t="s">
        <v>100</v>
      </c>
    </row>
    <row r="26" spans="2:12" ht="54.9" customHeight="1">
      <c r="B26" s="122" t="s">
        <v>116</v>
      </c>
      <c r="C26" s="123">
        <f>260+15</f>
        <v>275</v>
      </c>
      <c r="D26" s="130">
        <f>695.62+120</f>
        <v>815.62</v>
      </c>
      <c r="E26" s="123" t="s">
        <v>101</v>
      </c>
      <c r="F26" s="125"/>
      <c r="G26" s="125" t="s">
        <v>117</v>
      </c>
      <c r="H26" s="139"/>
      <c r="I26" s="126">
        <f>D26*H26</f>
        <v>0</v>
      </c>
      <c r="J26" s="126">
        <f>I26*1.2</f>
        <v>0</v>
      </c>
      <c r="K26" s="126">
        <f>I26*4</f>
        <v>0</v>
      </c>
      <c r="L26" s="127">
        <f>K26*1.2</f>
        <v>0</v>
      </c>
    </row>
    <row r="27" spans="2:12" ht="54.9" customHeight="1">
      <c r="B27" s="122" t="s">
        <v>118</v>
      </c>
      <c r="C27" s="123">
        <v>20</v>
      </c>
      <c r="D27" s="130">
        <v>10</v>
      </c>
      <c r="E27" s="123" t="s">
        <v>111</v>
      </c>
      <c r="F27" s="125"/>
      <c r="G27" s="125" t="s">
        <v>117</v>
      </c>
      <c r="H27" s="139"/>
      <c r="I27" s="126">
        <f>D27*H27</f>
        <v>0</v>
      </c>
      <c r="J27" s="126">
        <f t="shared" ref="J27:J30" si="4">I27*1.2</f>
        <v>0</v>
      </c>
      <c r="K27" s="126">
        <f t="shared" ref="K27:K30" si="5">I27*4</f>
        <v>0</v>
      </c>
      <c r="L27" s="127">
        <f t="shared" ref="L27:L31" si="6">K27*1.2</f>
        <v>0</v>
      </c>
    </row>
    <row r="28" spans="2:12" ht="54.9" customHeight="1">
      <c r="B28" s="122" t="s">
        <v>119</v>
      </c>
      <c r="C28" s="123">
        <v>20</v>
      </c>
      <c r="D28" s="130">
        <v>17</v>
      </c>
      <c r="E28" s="123" t="s">
        <v>111</v>
      </c>
      <c r="F28" s="125"/>
      <c r="G28" s="125" t="s">
        <v>117</v>
      </c>
      <c r="H28" s="139"/>
      <c r="I28" s="126">
        <f t="shared" ref="I28" si="7">D28*H28</f>
        <v>0</v>
      </c>
      <c r="J28" s="126">
        <f t="shared" si="4"/>
        <v>0</v>
      </c>
      <c r="K28" s="126">
        <f t="shared" si="5"/>
        <v>0</v>
      </c>
      <c r="L28" s="127">
        <f t="shared" si="6"/>
        <v>0</v>
      </c>
    </row>
    <row r="29" spans="2:12" ht="54.9" customHeight="1">
      <c r="B29" s="122" t="s">
        <v>120</v>
      </c>
      <c r="C29" s="123">
        <v>206</v>
      </c>
      <c r="D29" s="130">
        <v>191</v>
      </c>
      <c r="E29" s="123" t="s">
        <v>111</v>
      </c>
      <c r="F29" s="125"/>
      <c r="G29" s="125" t="s">
        <v>170</v>
      </c>
      <c r="H29" s="139"/>
      <c r="I29" s="126">
        <f>(D29*H29)*4</f>
        <v>0</v>
      </c>
      <c r="J29" s="126">
        <f t="shared" si="4"/>
        <v>0</v>
      </c>
      <c r="K29" s="126">
        <f t="shared" si="5"/>
        <v>0</v>
      </c>
      <c r="L29" s="127">
        <f t="shared" si="6"/>
        <v>0</v>
      </c>
    </row>
    <row r="30" spans="2:12" ht="54.9" customHeight="1">
      <c r="B30" s="122" t="s">
        <v>121</v>
      </c>
      <c r="C30" s="123">
        <v>22</v>
      </c>
      <c r="D30" s="130">
        <v>20</v>
      </c>
      <c r="E30" s="123" t="s">
        <v>111</v>
      </c>
      <c r="F30" s="125"/>
      <c r="G30" s="125" t="s">
        <v>170</v>
      </c>
      <c r="H30" s="139"/>
      <c r="I30" s="126">
        <f>(D30*H30)*4</f>
        <v>0</v>
      </c>
      <c r="J30" s="126">
        <f t="shared" si="4"/>
        <v>0</v>
      </c>
      <c r="K30" s="126">
        <f t="shared" si="5"/>
        <v>0</v>
      </c>
      <c r="L30" s="127">
        <f t="shared" si="6"/>
        <v>0</v>
      </c>
    </row>
    <row r="31" spans="2:12" ht="54.9" customHeight="1">
      <c r="B31" s="125"/>
      <c r="C31" s="125"/>
      <c r="D31" s="125"/>
      <c r="E31" s="125"/>
      <c r="F31" s="125"/>
      <c r="G31" s="125"/>
      <c r="H31" s="125"/>
      <c r="I31" s="125"/>
      <c r="J31" s="125"/>
      <c r="K31" s="126">
        <f>SUM(K26:K30)</f>
        <v>0</v>
      </c>
      <c r="L31" s="127">
        <f t="shared" si="6"/>
        <v>0</v>
      </c>
    </row>
    <row r="32" spans="2:12" ht="54.9" customHeight="1"/>
    <row r="33" spans="2:12" ht="54.9" customHeight="1">
      <c r="B33" s="227" t="s">
        <v>171</v>
      </c>
      <c r="C33" s="227"/>
      <c r="D33" s="227"/>
      <c r="E33" s="227"/>
      <c r="F33" s="227"/>
      <c r="G33" s="227"/>
      <c r="H33" s="227"/>
      <c r="I33" s="227"/>
      <c r="J33" s="227"/>
      <c r="K33" s="105">
        <f>SUM(K31+K23)</f>
        <v>0</v>
      </c>
      <c r="L33" s="117">
        <f>SUM(L23+L31)</f>
        <v>0</v>
      </c>
    </row>
    <row r="34" spans="2:12" ht="90" customHeight="1">
      <c r="B34" s="219" t="s">
        <v>122</v>
      </c>
      <c r="C34" s="219"/>
      <c r="D34" s="219"/>
      <c r="E34" s="219"/>
      <c r="F34" s="219"/>
      <c r="G34" s="219"/>
      <c r="H34" s="219"/>
      <c r="I34" s="219"/>
      <c r="J34" s="219"/>
      <c r="K34" s="219"/>
      <c r="L34" s="219"/>
    </row>
    <row r="35" spans="2:12" ht="90" customHeight="1">
      <c r="B35" s="228" t="s">
        <v>123</v>
      </c>
      <c r="C35" s="228"/>
      <c r="D35" s="228"/>
      <c r="E35" s="228"/>
      <c r="F35" s="228"/>
      <c r="G35" s="228"/>
      <c r="H35" s="228"/>
      <c r="I35" s="228"/>
      <c r="J35" s="228"/>
      <c r="K35" s="228"/>
      <c r="L35" s="228"/>
    </row>
    <row r="36" spans="2:12" ht="90" customHeight="1">
      <c r="B36" s="229" t="s">
        <v>124</v>
      </c>
      <c r="C36" s="229"/>
      <c r="D36" s="229"/>
      <c r="E36" s="229"/>
      <c r="F36" s="229"/>
      <c r="G36" s="229"/>
      <c r="H36" s="229"/>
      <c r="I36" s="229"/>
      <c r="J36" s="229"/>
      <c r="K36" s="229"/>
      <c r="L36" s="229"/>
    </row>
    <row r="37" spans="2:12" ht="90" customHeight="1">
      <c r="B37" s="230" t="s">
        <v>125</v>
      </c>
      <c r="C37" s="231"/>
      <c r="D37" s="231"/>
      <c r="E37" s="231"/>
      <c r="F37" s="231"/>
      <c r="G37" s="231"/>
      <c r="H37" s="231"/>
      <c r="I37" s="231"/>
      <c r="J37" s="231"/>
      <c r="K37" s="231"/>
      <c r="L37" s="231"/>
    </row>
    <row r="38" spans="2:12" ht="90" customHeight="1">
      <c r="B38" s="232" t="s">
        <v>172</v>
      </c>
      <c r="C38" s="233"/>
      <c r="D38" s="233"/>
      <c r="E38" s="233"/>
      <c r="F38" s="233"/>
      <c r="G38" s="233"/>
      <c r="H38" s="233"/>
      <c r="I38" s="233"/>
      <c r="J38" s="233"/>
      <c r="K38" s="233"/>
      <c r="L38" s="233"/>
    </row>
    <row r="39" spans="2:12" ht="90" customHeight="1">
      <c r="B39" s="234" t="s">
        <v>137</v>
      </c>
      <c r="C39" s="234"/>
      <c r="D39" s="234"/>
      <c r="E39" s="234"/>
      <c r="F39" s="234"/>
      <c r="G39" s="234"/>
      <c r="H39" s="234"/>
      <c r="I39" s="234"/>
      <c r="J39" s="234"/>
      <c r="K39" s="234"/>
      <c r="L39" s="234"/>
    </row>
  </sheetData>
  <sheetProtection algorithmName="SHA-512" hashValue="IfH8xaBky0ggKm5HFJkdPN3toDo+OAyaSc5wbT+Q6sEQw/DqHQkt9O52eU7rjGW0fwAxbuDNsip1Z80HaohZTg==" saltValue="Jea58p4SFaZoebzeJg553A==" spinCount="100000" sheet="1" objects="1" scenarios="1" formatCells="0" formatColumns="0" formatRows="0"/>
  <mergeCells count="11">
    <mergeCell ref="B35:L35"/>
    <mergeCell ref="B36:L36"/>
    <mergeCell ref="B37:L37"/>
    <mergeCell ref="B38:L38"/>
    <mergeCell ref="B39:L39"/>
    <mergeCell ref="B34:L34"/>
    <mergeCell ref="B2:L2"/>
    <mergeCell ref="B3:L3"/>
    <mergeCell ref="B4:L4"/>
    <mergeCell ref="B24:L24"/>
    <mergeCell ref="B33:J3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869BB-9A42-C04F-B778-45A157FE3B69}">
  <dimension ref="B1:P12"/>
  <sheetViews>
    <sheetView workbookViewId="0">
      <selection activeCell="C19" sqref="C19"/>
    </sheetView>
  </sheetViews>
  <sheetFormatPr defaultColWidth="11.44140625" defaultRowHeight="14.4"/>
  <cols>
    <col min="1" max="1" width="5.88671875" customWidth="1"/>
    <col min="2" max="2" width="60.109375" customWidth="1"/>
    <col min="3" max="6" width="20.88671875" customWidth="1"/>
    <col min="7" max="7" width="31.6640625" customWidth="1"/>
  </cols>
  <sheetData>
    <row r="1" spans="2:16" ht="15" thickBot="1"/>
    <row r="2" spans="2:16" s="108" customFormat="1" ht="54.9" customHeight="1" thickBot="1">
      <c r="B2" s="238" t="s">
        <v>173</v>
      </c>
      <c r="C2" s="239"/>
      <c r="D2" s="239"/>
      <c r="E2" s="239"/>
      <c r="F2" s="239"/>
      <c r="G2" s="240"/>
      <c r="H2" s="116"/>
      <c r="I2" s="116"/>
      <c r="J2" s="116"/>
      <c r="K2" s="116"/>
      <c r="L2" s="116"/>
      <c r="M2" s="107"/>
      <c r="O2" s="109"/>
      <c r="P2" s="109"/>
    </row>
    <row r="3" spans="2:16" s="108" customFormat="1" ht="21">
      <c r="B3" s="132"/>
      <c r="C3" s="131"/>
      <c r="D3" s="131"/>
      <c r="E3" s="131"/>
      <c r="F3" s="131"/>
      <c r="G3" s="133"/>
      <c r="H3" s="116"/>
      <c r="I3" s="116"/>
      <c r="J3" s="116"/>
      <c r="K3" s="116"/>
      <c r="L3" s="116"/>
      <c r="M3" s="107"/>
      <c r="O3" s="109"/>
      <c r="P3" s="109"/>
    </row>
    <row r="4" spans="2:16" ht="80.099999999999994" customHeight="1">
      <c r="B4" s="134" t="s">
        <v>38</v>
      </c>
      <c r="C4" s="135" t="s">
        <v>98</v>
      </c>
      <c r="D4" s="135" t="s">
        <v>127</v>
      </c>
      <c r="E4" s="135" t="s">
        <v>131</v>
      </c>
      <c r="F4" s="136" t="s">
        <v>128</v>
      </c>
      <c r="G4" s="135" t="s">
        <v>129</v>
      </c>
    </row>
    <row r="5" spans="2:16" ht="39.9" customHeight="1">
      <c r="B5" s="115" t="s">
        <v>130</v>
      </c>
      <c r="C5" s="110">
        <f>'Cenová ponuka'!I23</f>
        <v>0</v>
      </c>
      <c r="D5" s="137"/>
      <c r="E5" s="138"/>
      <c r="F5" s="137"/>
      <c r="G5" s="137"/>
    </row>
    <row r="6" spans="2:16" ht="39.9" customHeight="1">
      <c r="B6" s="235" t="s">
        <v>114</v>
      </c>
      <c r="C6" s="236"/>
      <c r="D6" s="236"/>
      <c r="E6" s="236"/>
      <c r="F6" s="237"/>
      <c r="G6" s="114"/>
    </row>
    <row r="7" spans="2:16" ht="81.900000000000006" customHeight="1">
      <c r="B7" s="111" t="s">
        <v>38</v>
      </c>
      <c r="C7" s="106" t="s">
        <v>115</v>
      </c>
      <c r="D7" s="112" t="s">
        <v>127</v>
      </c>
      <c r="E7" s="112" t="s">
        <v>131</v>
      </c>
      <c r="F7" s="113" t="s">
        <v>128</v>
      </c>
    </row>
    <row r="8" spans="2:16" ht="39.9" customHeight="1">
      <c r="B8" s="122" t="s">
        <v>116</v>
      </c>
      <c r="C8" s="110">
        <f>'Cenová ponuka'!J26</f>
        <v>0</v>
      </c>
      <c r="D8" s="137"/>
      <c r="E8" s="137"/>
      <c r="F8" s="137"/>
    </row>
    <row r="9" spans="2:16" ht="39.9" customHeight="1">
      <c r="B9" s="122" t="s">
        <v>118</v>
      </c>
      <c r="C9" s="110">
        <f>'Cenová ponuka'!J27</f>
        <v>0</v>
      </c>
      <c r="D9" s="137"/>
      <c r="E9" s="137"/>
      <c r="F9" s="137"/>
    </row>
    <row r="10" spans="2:16" ht="39.9" customHeight="1">
      <c r="B10" s="122" t="s">
        <v>119</v>
      </c>
      <c r="C10" s="110">
        <f>'Cenová ponuka'!J28</f>
        <v>0</v>
      </c>
      <c r="D10" s="137"/>
      <c r="E10" s="137"/>
      <c r="F10" s="137"/>
    </row>
    <row r="11" spans="2:16" ht="39.9" customHeight="1">
      <c r="B11" s="122" t="s">
        <v>120</v>
      </c>
      <c r="C11" s="110">
        <f>'Cenová ponuka'!J29</f>
        <v>0</v>
      </c>
      <c r="D11" s="137"/>
      <c r="E11" s="137"/>
      <c r="F11" s="137"/>
    </row>
    <row r="12" spans="2:16" ht="39.9" customHeight="1">
      <c r="B12" s="122" t="s">
        <v>121</v>
      </c>
      <c r="C12" s="110">
        <f>'Cenová ponuka'!J30</f>
        <v>0</v>
      </c>
      <c r="D12" s="137"/>
      <c r="E12" s="137"/>
      <c r="F12" s="137"/>
    </row>
  </sheetData>
  <sheetProtection algorithmName="SHA-512" hashValue="lO8hUhaBDtIBgyDLrZzZ4NJPPHleNZJFSi87hqxZmTuUkxgAxKa/i4gIgwkSwFtg31HpflA7dtafRfUPOcGsgg==" saltValue="6FLYnd7Xk7NYiWqT55VxrA==" spinCount="100000" sheet="1" objects="1" scenarios="1" formatCells="0" formatColumns="0"/>
  <mergeCells count="2">
    <mergeCell ref="B6:F6"/>
    <mergeCell ref="B2:G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3E5C8-8821-4FFE-8F4C-0B9AD620EC48}">
  <sheetPr>
    <tabColor theme="9"/>
  </sheetPr>
  <dimension ref="B1:F44"/>
  <sheetViews>
    <sheetView zoomScaleNormal="100" workbookViewId="0">
      <selection activeCell="K27" sqref="K27"/>
    </sheetView>
  </sheetViews>
  <sheetFormatPr defaultColWidth="9.109375" defaultRowHeight="14.4"/>
  <cols>
    <col min="1" max="1" width="5.88671875" customWidth="1"/>
    <col min="2" max="2" width="38.88671875" customWidth="1"/>
    <col min="3" max="3" width="7.44140625" customWidth="1"/>
    <col min="4" max="4" width="28.44140625" customWidth="1"/>
    <col min="5" max="5" width="29" customWidth="1"/>
    <col min="6" max="6" width="28.33203125" customWidth="1"/>
  </cols>
  <sheetData>
    <row r="1" spans="2:6" ht="15" thickBot="1"/>
    <row r="2" spans="2:6" ht="51" customHeight="1" thickBot="1">
      <c r="B2" s="286" t="s">
        <v>138</v>
      </c>
      <c r="C2" s="287"/>
      <c r="D2" s="287"/>
      <c r="E2" s="287"/>
      <c r="F2" s="288"/>
    </row>
    <row r="3" spans="2:6" ht="15" thickBot="1">
      <c r="B3" s="277"/>
      <c r="C3" s="277"/>
      <c r="D3" s="277"/>
      <c r="E3" s="277"/>
      <c r="F3" s="277"/>
    </row>
    <row r="4" spans="2:6">
      <c r="B4" s="140" t="s">
        <v>26</v>
      </c>
      <c r="C4" s="289"/>
      <c r="D4" s="289"/>
      <c r="E4" s="289"/>
      <c r="F4" s="290"/>
    </row>
    <row r="5" spans="2:6">
      <c r="B5" s="141" t="s">
        <v>27</v>
      </c>
      <c r="C5" s="291"/>
      <c r="D5" s="291"/>
      <c r="E5" s="291"/>
      <c r="F5" s="292"/>
    </row>
    <row r="6" spans="2:6">
      <c r="B6" s="141" t="s">
        <v>28</v>
      </c>
      <c r="C6" s="291"/>
      <c r="D6" s="291"/>
      <c r="E6" s="291"/>
      <c r="F6" s="292"/>
    </row>
    <row r="7" spans="2:6">
      <c r="B7" s="141" t="s">
        <v>29</v>
      </c>
      <c r="C7" s="291"/>
      <c r="D7" s="291"/>
      <c r="E7" s="291"/>
      <c r="F7" s="292"/>
    </row>
    <row r="8" spans="2:6">
      <c r="B8" s="141" t="s">
        <v>30</v>
      </c>
      <c r="C8" s="291"/>
      <c r="D8" s="291"/>
      <c r="E8" s="291"/>
      <c r="F8" s="292"/>
    </row>
    <row r="9" spans="2:6">
      <c r="B9" s="141" t="s">
        <v>31</v>
      </c>
      <c r="C9" s="291"/>
      <c r="D9" s="291"/>
      <c r="E9" s="291"/>
      <c r="F9" s="292"/>
    </row>
    <row r="10" spans="2:6" ht="15" thickBot="1">
      <c r="B10" s="142" t="s">
        <v>32</v>
      </c>
      <c r="C10" s="293" t="s">
        <v>126</v>
      </c>
      <c r="D10" s="294"/>
      <c r="E10" s="295"/>
      <c r="F10" s="296"/>
    </row>
    <row r="11" spans="2:6" ht="15" thickBot="1">
      <c r="B11" s="277"/>
      <c r="C11" s="277"/>
      <c r="D11" s="277"/>
      <c r="E11" s="277"/>
      <c r="F11" s="277"/>
    </row>
    <row r="12" spans="2:6" ht="30" customHeight="1">
      <c r="B12" s="297" t="s">
        <v>33</v>
      </c>
      <c r="C12" s="298"/>
      <c r="D12" s="298"/>
      <c r="E12" s="298"/>
      <c r="F12" s="299"/>
    </row>
    <row r="13" spans="2:6" ht="31.5" customHeight="1">
      <c r="B13" s="300" t="s">
        <v>34</v>
      </c>
      <c r="C13" s="301"/>
      <c r="D13" s="301"/>
      <c r="E13" s="301"/>
      <c r="F13" s="170"/>
    </row>
    <row r="14" spans="2:6" ht="30" customHeight="1">
      <c r="B14" s="300" t="s">
        <v>35</v>
      </c>
      <c r="C14" s="301"/>
      <c r="D14" s="301"/>
      <c r="E14" s="301"/>
      <c r="F14" s="170"/>
    </row>
    <row r="15" spans="2:6" ht="30" customHeight="1">
      <c r="B15" s="302" t="s">
        <v>36</v>
      </c>
      <c r="C15" s="303"/>
      <c r="D15" s="303"/>
      <c r="E15" s="303"/>
      <c r="F15" s="170"/>
    </row>
    <row r="16" spans="2:6" ht="45.75" customHeight="1" thickBot="1">
      <c r="B16" s="278" t="s">
        <v>95</v>
      </c>
      <c r="C16" s="279"/>
      <c r="D16" s="279"/>
      <c r="E16" s="279"/>
      <c r="F16" s="171"/>
    </row>
    <row r="17" spans="2:6" ht="15" thickBot="1">
      <c r="B17" s="277"/>
      <c r="C17" s="277"/>
      <c r="D17" s="277"/>
      <c r="E17" s="277"/>
      <c r="F17" s="277"/>
    </row>
    <row r="18" spans="2:6" ht="21.6" thickBot="1">
      <c r="B18" s="143" t="s">
        <v>132</v>
      </c>
      <c r="C18" s="276" t="str">
        <f>'Zákl. nastavenie'!C4</f>
        <v>Cena za predmet zákazky</v>
      </c>
      <c r="D18" s="262"/>
      <c r="E18" s="262"/>
      <c r="F18" s="263"/>
    </row>
    <row r="19" spans="2:6">
      <c r="B19" s="252" t="s">
        <v>79</v>
      </c>
      <c r="C19" s="253"/>
      <c r="D19" s="253"/>
      <c r="E19" s="144" t="s">
        <v>80</v>
      </c>
      <c r="F19" s="145" t="s">
        <v>81</v>
      </c>
    </row>
    <row r="20" spans="2:6" ht="15" thickBot="1">
      <c r="B20" s="254"/>
      <c r="C20" s="255"/>
      <c r="D20" s="255"/>
      <c r="E20" s="146">
        <f>'Zákl. nastavenie'!F4</f>
        <v>0</v>
      </c>
      <c r="F20" s="147">
        <f>'Zákl. nastavenie'!E4</f>
        <v>201000</v>
      </c>
    </row>
    <row r="21" spans="2:6" ht="29.4" thickBot="1">
      <c r="B21" s="148" t="s">
        <v>38</v>
      </c>
      <c r="C21" s="149" t="s">
        <v>39</v>
      </c>
      <c r="D21" s="150" t="s">
        <v>40</v>
      </c>
      <c r="E21" s="151" t="s">
        <v>41</v>
      </c>
      <c r="F21" s="152" t="s">
        <v>42</v>
      </c>
    </row>
    <row r="22" spans="2:6" ht="30.75" customHeight="1" thickBot="1">
      <c r="B22" s="153" t="s">
        <v>77</v>
      </c>
      <c r="C22" s="154">
        <v>1</v>
      </c>
      <c r="D22" s="155">
        <f>'Cenová ponuka'!K33</f>
        <v>0</v>
      </c>
      <c r="E22" s="156">
        <f>IF(C$10="Som platcom DPH",D22*0.2,0)</f>
        <v>0</v>
      </c>
      <c r="F22" s="157">
        <f>SUM(D22+E22)*C22</f>
        <v>0</v>
      </c>
    </row>
    <row r="23" spans="2:6" ht="15" thickBot="1">
      <c r="B23" s="280"/>
      <c r="C23" s="281"/>
      <c r="D23" s="282"/>
      <c r="E23" s="283"/>
      <c r="F23" s="158">
        <f>SUM(F22:F22)</f>
        <v>0</v>
      </c>
    </row>
    <row r="24" spans="2:6" ht="18.600000000000001" thickBot="1">
      <c r="B24" s="159" t="s">
        <v>135</v>
      </c>
      <c r="C24" s="284">
        <f>F23</f>
        <v>0</v>
      </c>
      <c r="D24" s="284"/>
      <c r="E24" s="284"/>
      <c r="F24" s="285"/>
    </row>
    <row r="25" spans="2:6" ht="15" thickBot="1">
      <c r="B25" s="273"/>
      <c r="C25" s="274"/>
      <c r="D25" s="274"/>
      <c r="E25" s="274"/>
      <c r="F25" s="275"/>
    </row>
    <row r="26" spans="2:6" ht="21.6" thickBot="1">
      <c r="B26" s="160" t="s">
        <v>133</v>
      </c>
      <c r="C26" s="262" t="str">
        <f>'Zákl. nastavenie'!C5</f>
        <v>Garantovaná hodinová mzda pracovníka</v>
      </c>
      <c r="D26" s="262"/>
      <c r="E26" s="262"/>
      <c r="F26" s="263"/>
    </row>
    <row r="27" spans="2:6" ht="30.75" customHeight="1">
      <c r="B27" s="161" t="s">
        <v>37</v>
      </c>
      <c r="C27" s="266" t="s">
        <v>82</v>
      </c>
      <c r="D27" s="267"/>
      <c r="E27" s="162" t="s">
        <v>85</v>
      </c>
      <c r="F27" s="163" t="s">
        <v>86</v>
      </c>
    </row>
    <row r="28" spans="2:6" ht="15" thickBot="1">
      <c r="B28" s="164" t="str">
        <f>'Zákl. nastavenie'!G5</f>
        <v>čím viac, tým lepšie</v>
      </c>
      <c r="C28" s="264">
        <f>'Zákl. nastavenie'!H5</f>
        <v>36000</v>
      </c>
      <c r="D28" s="265"/>
      <c r="E28" s="165">
        <f>'Zákl. nastavenie'!F5</f>
        <v>4.3099999999999996</v>
      </c>
      <c r="F28" s="166">
        <f>'Zákl. nastavenie'!E5</f>
        <v>9</v>
      </c>
    </row>
    <row r="29" spans="2:6" ht="15" thickBot="1">
      <c r="B29" s="268" t="s">
        <v>43</v>
      </c>
      <c r="C29" s="269"/>
      <c r="D29" s="269"/>
      <c r="E29" s="270"/>
      <c r="F29" s="167" t="s">
        <v>44</v>
      </c>
    </row>
    <row r="30" spans="2:6" ht="31.5" customHeight="1" thickBot="1">
      <c r="B30" s="271" t="s">
        <v>93</v>
      </c>
      <c r="C30" s="272"/>
      <c r="D30" s="272"/>
      <c r="E30" s="272"/>
      <c r="F30" s="172">
        <v>4.3099999999999996</v>
      </c>
    </row>
    <row r="31" spans="2:6" ht="18.600000000000001" thickBot="1">
      <c r="B31" s="256" t="s">
        <v>78</v>
      </c>
      <c r="C31" s="257"/>
      <c r="D31" s="257"/>
      <c r="E31" s="258"/>
      <c r="F31" s="168">
        <f>IF(B28="čím menej, tým lepšie",(-(F28-F30)*(C28/(F28-E28))),-(F30-E28)*(C28/(F28-E28)))</f>
        <v>0</v>
      </c>
    </row>
    <row r="32" spans="2:6" ht="15" thickBot="1">
      <c r="B32" s="273"/>
      <c r="C32" s="274"/>
      <c r="D32" s="274"/>
      <c r="E32" s="274"/>
      <c r="F32" s="275"/>
    </row>
    <row r="33" spans="2:6" ht="21.6" thickBot="1">
      <c r="B33" s="143" t="s">
        <v>134</v>
      </c>
      <c r="C33" s="276" t="str">
        <f>'Zákl. nastavenie'!C6</f>
        <v>Skúsenosti zodpovedného zástupcu poskytovateľa služieb</v>
      </c>
      <c r="D33" s="262"/>
      <c r="E33" s="262"/>
      <c r="F33" s="263"/>
    </row>
    <row r="34" spans="2:6" ht="29.25" customHeight="1">
      <c r="B34" s="161" t="s">
        <v>37</v>
      </c>
      <c r="C34" s="266" t="s">
        <v>82</v>
      </c>
      <c r="D34" s="267"/>
      <c r="E34" s="162" t="s">
        <v>85</v>
      </c>
      <c r="F34" s="163" t="s">
        <v>86</v>
      </c>
    </row>
    <row r="35" spans="2:6" ht="15" thickBot="1">
      <c r="B35" s="164" t="str">
        <f>'Zákl. nastavenie'!G6</f>
        <v>žiadna</v>
      </c>
      <c r="C35" s="264">
        <f>'Zákl. nastavenie'!H6</f>
        <v>12000</v>
      </c>
      <c r="D35" s="265"/>
      <c r="E35" s="165">
        <f>'Zákl. nastavenie'!F6</f>
        <v>0</v>
      </c>
      <c r="F35" s="166">
        <f>'Zákl. nastavenie'!E6</f>
        <v>45</v>
      </c>
    </row>
    <row r="36" spans="2:6" ht="15" thickBot="1">
      <c r="B36" s="304" t="s">
        <v>43</v>
      </c>
      <c r="C36" s="305"/>
      <c r="D36" s="305"/>
      <c r="E36" s="305"/>
      <c r="F36" s="167" t="s">
        <v>44</v>
      </c>
    </row>
    <row r="37" spans="2:6" ht="33.75" customHeight="1" thickBot="1">
      <c r="B37" s="306" t="s">
        <v>94</v>
      </c>
      <c r="C37" s="307"/>
      <c r="D37" s="307"/>
      <c r="E37" s="308"/>
      <c r="F37" s="172">
        <v>0</v>
      </c>
    </row>
    <row r="38" spans="2:6" ht="18.600000000000001" thickBot="1">
      <c r="B38" s="256" t="s">
        <v>78</v>
      </c>
      <c r="C38" s="257"/>
      <c r="D38" s="257"/>
      <c r="E38" s="258"/>
      <c r="F38" s="168">
        <f>IF(B35="čím menej, tým lepšie",(-(F35-F37)*(C35/(F35-E35))),-(F37-E35)*(C35/(F35-E35)))</f>
        <v>0</v>
      </c>
    </row>
    <row r="39" spans="2:6">
      <c r="B39" s="277"/>
      <c r="C39" s="277"/>
      <c r="D39" s="277"/>
      <c r="E39" s="277"/>
      <c r="F39" s="277"/>
    </row>
    <row r="40" spans="2:6" ht="15" thickBot="1"/>
    <row r="41" spans="2:6" ht="21.6" thickBot="1">
      <c r="B41" s="259" t="s">
        <v>83</v>
      </c>
      <c r="C41" s="260"/>
      <c r="D41" s="260"/>
      <c r="E41" s="261"/>
      <c r="F41" s="169">
        <f>C24+F31+F38</f>
        <v>0</v>
      </c>
    </row>
    <row r="42" spans="2:6" ht="15" thickBot="1">
      <c r="B42" s="241"/>
      <c r="C42" s="242"/>
      <c r="D42" s="242"/>
      <c r="E42" s="242"/>
      <c r="F42" s="243"/>
    </row>
    <row r="43" spans="2:6">
      <c r="B43" s="244" t="s">
        <v>45</v>
      </c>
      <c r="C43" s="246" t="s">
        <v>46</v>
      </c>
      <c r="D43" s="246"/>
      <c r="E43" s="248" t="s">
        <v>47</v>
      </c>
      <c r="F43" s="249"/>
    </row>
    <row r="44" spans="2:6" ht="15" thickBot="1">
      <c r="B44" s="245"/>
      <c r="C44" s="247"/>
      <c r="D44" s="247"/>
      <c r="E44" s="250"/>
      <c r="F44" s="251"/>
    </row>
  </sheetData>
  <sheetProtection algorithmName="SHA-512" hashValue="iIVzGYskpZrklfcfQnxFJlOGN10msDuR2RJ6tRcziv+Y/4Fr8ZzBBToF/SOFaqRHrffrPLyGlz7+f4L98INz1w==" saltValue="skLx2iAo9QyklADB6ZfRGA==" spinCount="100000" sheet="1" objects="1" scenarios="1" formatCells="0" formatColumns="0" formatRows="0"/>
  <mergeCells count="42">
    <mergeCell ref="C7:F7"/>
    <mergeCell ref="B38:E38"/>
    <mergeCell ref="C18:F18"/>
    <mergeCell ref="C8:F8"/>
    <mergeCell ref="C9:F9"/>
    <mergeCell ref="C10:D10"/>
    <mergeCell ref="E10:F10"/>
    <mergeCell ref="B11:F11"/>
    <mergeCell ref="B12:F12"/>
    <mergeCell ref="B13:E13"/>
    <mergeCell ref="B14:E14"/>
    <mergeCell ref="B15:E15"/>
    <mergeCell ref="C35:D35"/>
    <mergeCell ref="B36:E36"/>
    <mergeCell ref="B37:E37"/>
    <mergeCell ref="B2:F2"/>
    <mergeCell ref="B3:F3"/>
    <mergeCell ref="C4:F4"/>
    <mergeCell ref="C5:F5"/>
    <mergeCell ref="C6:F6"/>
    <mergeCell ref="B39:F39"/>
    <mergeCell ref="B16:E16"/>
    <mergeCell ref="B17:F17"/>
    <mergeCell ref="B23:E23"/>
    <mergeCell ref="C24:F24"/>
    <mergeCell ref="B25:F25"/>
    <mergeCell ref="B42:F42"/>
    <mergeCell ref="B43:B44"/>
    <mergeCell ref="C43:D44"/>
    <mergeCell ref="E43:F44"/>
    <mergeCell ref="B19:D19"/>
    <mergeCell ref="B20:D20"/>
    <mergeCell ref="B31:E31"/>
    <mergeCell ref="B41:E41"/>
    <mergeCell ref="C26:F26"/>
    <mergeCell ref="C28:D28"/>
    <mergeCell ref="C27:D27"/>
    <mergeCell ref="B29:E29"/>
    <mergeCell ref="B30:E30"/>
    <mergeCell ref="B32:F32"/>
    <mergeCell ref="C33:F33"/>
    <mergeCell ref="C34:D34"/>
  </mergeCells>
  <dataValidations count="4">
    <dataValidation type="list" allowBlank="1" showInputMessage="1" showErrorMessage="1" sqref="C10" xr:uid="{CACC827A-9BDE-4D68-BE0A-714B664E9FFF}">
      <formula1>"Som platcom DPH,Nie som platcom DPH"</formula1>
    </dataValidation>
    <dataValidation type="decimal" allowBlank="1" showInputMessage="1" showErrorMessage="1" error="Hodnota v tejto bunke môže byť medzi 4,31 a 9,00." promptTitle="Upozornenie" prompt="Hodnota v tejto bunke môže byť medzi 4,31 a 9,00." sqref="F30" xr:uid="{DF555328-7AF1-46D1-9EEB-2B692D2F2160}">
      <formula1>E28</formula1>
      <formula2>F28</formula2>
    </dataValidation>
    <dataValidation type="whole" allowBlank="1" showInputMessage="1" showErrorMessage="1" sqref="J37" xr:uid="{A15F14DA-583C-44C7-B159-BCBA3D627DDB}">
      <formula1>E35</formula1>
      <formula2>F35</formula2>
    </dataValidation>
    <dataValidation type="whole" allowBlank="1" showInputMessage="1" showErrorMessage="1" error="Maximálny počet bodov, ktoré je možné získať je 45." promptTitle="Upozornenie" prompt="Maximálny počet bodov, ktoré je možné získať je 45." sqref="F37" xr:uid="{17DF195D-290E-4E94-BB3A-E6DBB53E41A4}">
      <formula1>E35</formula1>
      <formula2>F35</formula2>
    </dataValidation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7" r:id="rId3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5</xdr:col>
                    <xdr:colOff>1257300</xdr:colOff>
                    <xdr:row>13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8" r:id="rId4" name="Check Box 6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350520</xdr:rowOff>
                  </from>
                  <to>
                    <xdr:col>5</xdr:col>
                    <xdr:colOff>1447800</xdr:colOff>
                    <xdr:row>14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9" r:id="rId5" name="Check Box 7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312420</xdr:rowOff>
                  </from>
                  <to>
                    <xdr:col>5</xdr:col>
                    <xdr:colOff>1371600</xdr:colOff>
                    <xdr:row>15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0" r:id="rId6" name="Check Box 8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5</xdr:col>
                    <xdr:colOff>769620</xdr:colOff>
                    <xdr:row>15</xdr:row>
                    <xdr:rowOff>563880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workbookViewId="0">
      <selection activeCell="I26" sqref="A1:XFD1048576"/>
    </sheetView>
  </sheetViews>
  <sheetFormatPr defaultColWidth="8.88671875" defaultRowHeight="14.4"/>
  <cols>
    <col min="1" max="1" width="3.6640625" customWidth="1"/>
    <col min="2" max="2" width="98.44140625" customWidth="1"/>
  </cols>
  <sheetData>
    <row r="1" spans="2:2" ht="15" thickBot="1"/>
    <row r="2" spans="2:2" ht="42.75" customHeight="1">
      <c r="B2" s="3" t="s">
        <v>48</v>
      </c>
    </row>
    <row r="3" spans="2:2">
      <c r="B3" s="4"/>
    </row>
    <row r="4" spans="2:2">
      <c r="B4" s="10" t="s">
        <v>49</v>
      </c>
    </row>
    <row r="5" spans="2:2">
      <c r="B5" s="4"/>
    </row>
    <row r="6" spans="2:2">
      <c r="B6" s="11" t="s">
        <v>50</v>
      </c>
    </row>
    <row r="7" spans="2:2">
      <c r="B7" s="12"/>
    </row>
    <row r="8" spans="2:2" ht="60.75" customHeight="1">
      <c r="B8" s="5" t="s">
        <v>51</v>
      </c>
    </row>
    <row r="9" spans="2:2">
      <c r="B9" s="5"/>
    </row>
    <row r="10" spans="2:2">
      <c r="B10" s="5" t="s">
        <v>52</v>
      </c>
    </row>
    <row r="11" spans="2:2">
      <c r="B11" s="5" t="s">
        <v>53</v>
      </c>
    </row>
    <row r="12" spans="2:2">
      <c r="B12" s="5" t="s">
        <v>54</v>
      </c>
    </row>
    <row r="13" spans="2:2">
      <c r="B13" s="5" t="s">
        <v>55</v>
      </c>
    </row>
    <row r="14" spans="2:2">
      <c r="B14" s="5" t="s">
        <v>56</v>
      </c>
    </row>
    <row r="15" spans="2:2">
      <c r="B15" s="5" t="s">
        <v>57</v>
      </c>
    </row>
    <row r="16" spans="2:2">
      <c r="B16" s="5" t="s">
        <v>58</v>
      </c>
    </row>
    <row r="17" spans="2:2" ht="28.8">
      <c r="B17" s="5" t="s">
        <v>59</v>
      </c>
    </row>
    <row r="18" spans="2:2">
      <c r="B18" s="5" t="s">
        <v>60</v>
      </c>
    </row>
    <row r="19" spans="2:2">
      <c r="B19" s="5" t="s">
        <v>61</v>
      </c>
    </row>
    <row r="20" spans="2:2">
      <c r="B20" s="5" t="s">
        <v>62</v>
      </c>
    </row>
    <row r="21" spans="2:2" ht="28.8">
      <c r="B21" s="5" t="s">
        <v>63</v>
      </c>
    </row>
    <row r="22" spans="2:2">
      <c r="B22" s="5" t="s">
        <v>64</v>
      </c>
    </row>
    <row r="23" spans="2:2">
      <c r="B23" s="6"/>
    </row>
    <row r="24" spans="2:2" ht="57.6">
      <c r="B24" s="5" t="s">
        <v>65</v>
      </c>
    </row>
    <row r="25" spans="2:2" ht="13.5" customHeight="1">
      <c r="B25" s="5"/>
    </row>
    <row r="26" spans="2:2" ht="28.8">
      <c r="B26" s="5" t="s">
        <v>66</v>
      </c>
    </row>
    <row r="27" spans="2:2" ht="15" thickBot="1">
      <c r="B27" s="13"/>
    </row>
  </sheetData>
  <sheetProtection algorithmName="SHA-512" hashValue="bAwAOqTXrQXHKNtFhWM99yXBiT/0H04e1HEpxxN8zOiLXtXJvnEk8ri2OjuOLMjT9mJShMeKsJOHkirUZHF6cw==" saltValue="AAngSNca6f06toENj+vSsQ==" spinCount="100000" sheet="1" objects="1" scenarios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topLeftCell="A8" workbookViewId="0">
      <selection activeCell="G23" sqref="G23"/>
    </sheetView>
  </sheetViews>
  <sheetFormatPr defaultColWidth="8.88671875" defaultRowHeight="14.4"/>
  <cols>
    <col min="1" max="1" width="3.109375" customWidth="1"/>
    <col min="2" max="2" width="98.44140625" customWidth="1"/>
  </cols>
  <sheetData>
    <row r="1" spans="2:2" ht="15" thickBot="1"/>
    <row r="2" spans="2:2" ht="42.75" customHeight="1">
      <c r="B2" s="3" t="s">
        <v>67</v>
      </c>
    </row>
    <row r="3" spans="2:2">
      <c r="B3" s="4"/>
    </row>
    <row r="4" spans="2:2">
      <c r="B4" s="5" t="s">
        <v>49</v>
      </c>
    </row>
    <row r="5" spans="2:2">
      <c r="B5" s="6"/>
    </row>
    <row r="6" spans="2:2">
      <c r="B6" s="7" t="s">
        <v>50</v>
      </c>
    </row>
    <row r="7" spans="2:2">
      <c r="B7" s="5"/>
    </row>
    <row r="8" spans="2:2" ht="60.75" customHeight="1">
      <c r="B8" s="5" t="s">
        <v>68</v>
      </c>
    </row>
    <row r="9" spans="2:2">
      <c r="B9" s="5" t="s">
        <v>69</v>
      </c>
    </row>
    <row r="10" spans="2:2">
      <c r="B10" s="8"/>
    </row>
    <row r="11" spans="2:2" ht="28.8">
      <c r="B11" s="5" t="s">
        <v>70</v>
      </c>
    </row>
    <row r="12" spans="2:2">
      <c r="B12" s="5"/>
    </row>
    <row r="13" spans="2:2" ht="28.8">
      <c r="B13" s="5" t="s">
        <v>71</v>
      </c>
    </row>
    <row r="14" spans="2:2">
      <c r="B14" s="5"/>
    </row>
    <row r="15" spans="2:2" ht="28.8">
      <c r="B15" s="5" t="s">
        <v>72</v>
      </c>
    </row>
    <row r="16" spans="2:2">
      <c r="B16" s="5"/>
    </row>
    <row r="17" spans="2:2" ht="57.6">
      <c r="B17" s="5" t="s">
        <v>73</v>
      </c>
    </row>
    <row r="18" spans="2:2">
      <c r="B18" s="5"/>
    </row>
    <row r="19" spans="2:2" ht="72">
      <c r="B19" s="5" t="s">
        <v>74</v>
      </c>
    </row>
    <row r="20" spans="2:2" ht="15" thickBot="1">
      <c r="B20" s="9"/>
    </row>
    <row r="21" spans="2:2">
      <c r="B21" s="1"/>
    </row>
    <row r="22" spans="2:2">
      <c r="B22" s="1"/>
    </row>
    <row r="23" spans="2:2">
      <c r="B23" s="1"/>
    </row>
    <row r="24" spans="2:2">
      <c r="B24" s="1"/>
    </row>
    <row r="25" spans="2:2" ht="13.5" customHeight="1">
      <c r="B25" s="1"/>
    </row>
    <row r="26" spans="2:2" ht="15.6">
      <c r="B26" s="2"/>
    </row>
  </sheetData>
  <sheetProtection algorithmName="SHA-512" hashValue="XHXBmDrTcZ7D0fhT8SP0raqlfE4cV0ulKEcs3ZzPS1eTuFnt1gm9dxaGBAsEmIbgqnac+a1QDHw1l6WgoT776Q==" saltValue="jw58QADDFEiv5W3ZFaYO8A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v xmlns="bb3d1ceb-ec91-4593-ab49-8ce9533748d9">Potrebné vybaviť</Stav>
    <lcf76f155ced4ddcb4097134ff3c332f xmlns="bb3d1ceb-ec91-4593-ab49-8ce9533748d9">
      <Terms xmlns="http://schemas.microsoft.com/office/infopath/2007/PartnerControls"/>
    </lcf76f155ced4ddcb4097134ff3c332f>
    <Stav1 xmlns="bb3d1ceb-ec91-4593-ab49-8ce9533748d9">false</Stav1>
    <TaxCatchAll xmlns="e4b31099-8163-4ac9-ab84-be06feeb7ef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FF8F833A8A44EA8D88F930154EE1B" ma:contentTypeVersion="19" ma:contentTypeDescription="Create a new document." ma:contentTypeScope="" ma:versionID="e5097bae29a9c9efc3f252e070200a52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ff3f7b198ed648e4949c9995f5fd94e0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Stav" minOccurs="0"/>
                <xsd:element ref="ns2:Stav1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tav" ma:index="22" nillable="true" ma:displayName="Stav" ma:default="Potrebné vybaviť" ma:format="RadioButtons" ma:internalName="Stav">
      <xsd:simpleType>
        <xsd:union memberTypes="dms:Text">
          <xsd:simpleType>
            <xsd:restriction base="dms:Choice">
              <xsd:enumeration value="Vybavené"/>
              <xsd:enumeration value="Potrebné vybaviť"/>
              <xsd:enumeration value="Voľba 2"/>
            </xsd:restriction>
          </xsd:simpleType>
        </xsd:union>
      </xsd:simpleType>
    </xsd:element>
    <xsd:element name="Stav1" ma:index="23" nillable="true" ma:displayName="Stav1" ma:default="0" ma:format="Dropdown" ma:internalName="Stav1">
      <xsd:simpleType>
        <xsd:restriction base="dms:Boolea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6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c45932f-0409-4ce4-a056-1f58e1030d6c}" ma:internalName="TaxCatchAll" ma:showField="CatchAllData" ma:web="e4b31099-8163-4ac9-ab84-be06feeb7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3BD455-CE9E-4AB2-8BBB-ED95591DBF91}">
  <ds:schemaRefs>
    <ds:schemaRef ds:uri="bb3d1ceb-ec91-4593-ab49-8ce9533748d9"/>
    <ds:schemaRef ds:uri="http://schemas.microsoft.com/office/2006/documentManagement/types"/>
    <ds:schemaRef ds:uri="e4b31099-8163-4ac9-ab84-be06feeb7ef4"/>
    <ds:schemaRef ds:uri="http://schemas.microsoft.com/office/2006/metadata/properti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462CDEE-4D8D-4D8F-921E-46716E4956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2</vt:i4>
      </vt:variant>
    </vt:vector>
  </HeadingPairs>
  <TitlesOfParts>
    <vt:vector size="8" baseType="lpstr">
      <vt:lpstr>Zákl. nastavenie</vt:lpstr>
      <vt:lpstr>Cenová ponuka</vt:lpstr>
      <vt:lpstr>Rozbor cenovej ponuky</vt:lpstr>
      <vt:lpstr>Návrh na plnenie kritérií</vt:lpstr>
      <vt:lpstr>Koneční užívatelia výhod</vt:lpstr>
      <vt:lpstr>Medzinárodné sankcie</vt:lpstr>
      <vt:lpstr>'Koneční užívatelia výhod'!Oblasť_tlače</vt:lpstr>
      <vt:lpstr>'Medzinárodné sankcie'!Oblasť_tlače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Pudiš Ivan, Mgr.</cp:lastModifiedBy>
  <cp:revision/>
  <dcterms:created xsi:type="dcterms:W3CDTF">2022-09-22T09:41:16Z</dcterms:created>
  <dcterms:modified xsi:type="dcterms:W3CDTF">2024-05-30T15:41:30Z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  <property fmtid="{D5CDD505-2E9C-101B-9397-08002B2CF9AE}" pid="3" name="MediaServiceImageTags">
    <vt:lpwstr/>
  </property>
</Properties>
</file>