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Projekty_Holý_Archiv\2021\Znojmo DPS 2021\PDF\úprava DB18\"/>
    </mc:Choice>
  </mc:AlternateContent>
  <bookViews>
    <workbookView xWindow="0" yWindow="0" windowWidth="28770" windowHeight="11700"/>
  </bookViews>
  <sheets>
    <sheet name="Krycí list" sheetId="1" r:id="rId1"/>
    <sheet name="F Náklady stavby" sheetId="2" r:id="rId2"/>
  </sheets>
  <definedNames>
    <definedName name="__xlnm.Print_Area_2">'F Náklady stavby'!$B$1:$H$6</definedName>
    <definedName name="_xlnm.Print_Titles" localSheetId="1">'F Náklady stavby'!$6:$6</definedName>
    <definedName name="_xlnm.Print_Area" localSheetId="1">'F Náklady stavby'!$B$1:$H$88</definedName>
    <definedName name="_xlnm.Print_Area" localSheetId="0">'Krycí list'!$A$2:$D$28</definedName>
  </definedNames>
  <calcPr calcId="152511"/>
</workbook>
</file>

<file path=xl/calcChain.xml><?xml version="1.0" encoding="utf-8"?>
<calcChain xmlns="http://schemas.openxmlformats.org/spreadsheetml/2006/main">
  <c r="F59" i="2" l="1"/>
  <c r="F56" i="2"/>
  <c r="F58" i="2"/>
  <c r="F23" i="2"/>
  <c r="F22" i="2"/>
  <c r="F87" i="2" l="1"/>
  <c r="F21" i="2"/>
  <c r="F88" i="2" l="1"/>
  <c r="F64" i="2"/>
  <c r="H64" i="2" s="1"/>
  <c r="F70" i="2"/>
  <c r="H70" i="2" s="1"/>
  <c r="F69" i="2"/>
  <c r="F57" i="2"/>
  <c r="H57" i="2" s="1"/>
  <c r="F68" i="2"/>
  <c r="F63" i="2"/>
  <c r="F62" i="2"/>
  <c r="F55" i="2" l="1"/>
  <c r="F65" i="2"/>
  <c r="F71" i="2"/>
  <c r="H71" i="2" s="1"/>
  <c r="A16" i="1" l="1"/>
  <c r="A17" i="1"/>
  <c r="A18" i="1"/>
  <c r="F67" i="2"/>
  <c r="H69" i="2"/>
  <c r="H68" i="2"/>
  <c r="H59" i="2"/>
  <c r="F61" i="2"/>
  <c r="H61" i="2" s="1"/>
  <c r="H65" i="2"/>
  <c r="H62" i="2"/>
  <c r="H67" i="2" l="1"/>
  <c r="F66" i="2"/>
  <c r="H66" i="2" s="1"/>
  <c r="H56" i="2"/>
  <c r="H58" i="2"/>
  <c r="F60" i="2"/>
  <c r="H60" i="2" s="1"/>
  <c r="H63" i="2"/>
  <c r="F52" i="2" l="1"/>
  <c r="F53" i="2" s="1"/>
  <c r="F50" i="2"/>
  <c r="F51" i="2" s="1"/>
  <c r="F44" i="2"/>
  <c r="H44" i="2" l="1"/>
  <c r="F49" i="2"/>
  <c r="F45" i="2"/>
  <c r="H45" i="2" s="1"/>
  <c r="F46" i="2"/>
  <c r="F42" i="2" s="1"/>
  <c r="F41" i="2"/>
  <c r="F47" i="2" l="1"/>
  <c r="H47" i="2" s="1"/>
  <c r="F48" i="2"/>
  <c r="H48" i="2" s="1"/>
  <c r="H46" i="2"/>
  <c r="F43" i="2" l="1"/>
  <c r="H42" i="2"/>
  <c r="H43" i="2" l="1"/>
  <c r="F39" i="2"/>
  <c r="F35" i="2"/>
  <c r="F36" i="2" s="1"/>
  <c r="F37" i="2" l="1"/>
  <c r="H37" i="2" s="1"/>
  <c r="F38" i="2"/>
  <c r="F32" i="2"/>
  <c r="F33" i="2" l="1"/>
  <c r="H38" i="2" s="1"/>
  <c r="F31" i="2"/>
  <c r="F26" i="2" l="1"/>
  <c r="F77" i="2"/>
  <c r="F19" i="2"/>
  <c r="F15" i="2"/>
  <c r="F12" i="2"/>
  <c r="F10" i="2"/>
  <c r="F9" i="2"/>
  <c r="F8" i="2"/>
  <c r="F73" i="2"/>
  <c r="H55" i="2"/>
  <c r="H54" i="2" s="1"/>
  <c r="H51" i="2"/>
  <c r="H50" i="2"/>
  <c r="H49" i="2"/>
  <c r="H41" i="2"/>
  <c r="A15" i="1"/>
  <c r="A14" i="1"/>
  <c r="A13" i="1"/>
  <c r="A12" i="1"/>
  <c r="H77" i="2" l="1"/>
  <c r="F78" i="2"/>
  <c r="F79" i="2" s="1"/>
  <c r="F80" i="2" s="1"/>
  <c r="B16" i="1"/>
  <c r="H78" i="2" l="1"/>
  <c r="H53" i="2" l="1"/>
  <c r="H73" i="2"/>
  <c r="F74" i="2"/>
  <c r="H74" i="2" s="1"/>
  <c r="F29" i="2"/>
  <c r="F20" i="2"/>
  <c r="F13" i="2"/>
  <c r="F14" i="2" s="1"/>
  <c r="F82" i="2" l="1"/>
  <c r="H82" i="2" s="1"/>
  <c r="F27" i="2"/>
  <c r="F25" i="2"/>
  <c r="H80" i="2"/>
  <c r="F81" i="2"/>
  <c r="H81" i="2" s="1"/>
  <c r="H72" i="2"/>
  <c r="B17" i="1" s="1"/>
  <c r="H79" i="2"/>
  <c r="H52" i="2"/>
  <c r="H40" i="2" s="1"/>
  <c r="H9" i="2"/>
  <c r="H25" i="2" l="1"/>
  <c r="F28" i="2"/>
  <c r="H28" i="2" s="1"/>
  <c r="F11" i="2"/>
  <c r="H19" i="2"/>
  <c r="H20" i="2"/>
  <c r="H21" i="2"/>
  <c r="H22" i="2"/>
  <c r="H23" i="2"/>
  <c r="H11" i="2" l="1"/>
  <c r="F16" i="2"/>
  <c r="H16" i="2" s="1"/>
  <c r="F17" i="2"/>
  <c r="H17" i="2" s="1"/>
  <c r="H12" i="2"/>
  <c r="F76" i="2" l="1"/>
  <c r="H76" i="2" s="1"/>
  <c r="H75" i="2" s="1"/>
  <c r="B18" i="1" s="1"/>
  <c r="H15" i="2"/>
  <c r="H13" i="2"/>
  <c r="H14" i="2"/>
  <c r="B5" i="1" l="1"/>
  <c r="H18" i="2" l="1"/>
  <c r="B12" i="1" s="1"/>
  <c r="H10" i="2"/>
  <c r="H87" i="2"/>
  <c r="H88" i="2"/>
  <c r="H32" i="2" l="1"/>
  <c r="H35" i="2"/>
  <c r="H36" i="2"/>
  <c r="H39" i="2"/>
  <c r="B15" i="1" l="1"/>
  <c r="H31" i="2"/>
  <c r="F34" i="2"/>
  <c r="H34" i="2" s="1"/>
  <c r="H8" i="2"/>
  <c r="H7" i="2" s="1"/>
  <c r="H29" i="2"/>
  <c r="H27" i="2" l="1"/>
  <c r="H26" i="2"/>
  <c r="H24" i="2" l="1"/>
  <c r="B13" i="1" s="1"/>
  <c r="B7" i="1" l="1"/>
  <c r="C15" i="1" l="1"/>
  <c r="C13" i="1"/>
  <c r="C12" i="1"/>
  <c r="C11" i="1"/>
  <c r="C14" i="1"/>
  <c r="D14" i="1"/>
  <c r="D15" i="1" l="1"/>
  <c r="F84" i="2"/>
  <c r="H84" i="2" s="1"/>
  <c r="D11" i="1" l="1"/>
  <c r="F85" i="2" l="1"/>
  <c r="H85" i="2" s="1"/>
  <c r="D12" i="1" l="1"/>
  <c r="F86" i="2"/>
  <c r="H86" i="2" s="1"/>
  <c r="H83" i="2" s="1"/>
  <c r="D13" i="1" l="1"/>
  <c r="D19" i="1" s="1"/>
  <c r="A11" i="1" l="1"/>
  <c r="B4" i="1" l="1"/>
  <c r="D27" i="1"/>
  <c r="B11" i="1" l="1"/>
  <c r="B3" i="1" l="1"/>
  <c r="H33" i="2"/>
  <c r="H30" i="2" l="1"/>
  <c r="B14" i="1" l="1"/>
  <c r="B19" i="1" s="1"/>
  <c r="B21" i="1" s="1"/>
  <c r="B22" i="1" s="1"/>
  <c r="B24" i="1" s="1"/>
</calcChain>
</file>

<file path=xl/sharedStrings.xml><?xml version="1.0" encoding="utf-8"?>
<sst xmlns="http://schemas.openxmlformats.org/spreadsheetml/2006/main" count="357" uniqueCount="263">
  <si>
    <t>Datum:</t>
  </si>
  <si>
    <t>ROZPOČTOVÉ NÁKLADY</t>
  </si>
  <si>
    <t>Jméno:</t>
  </si>
  <si>
    <t>Podpis, razítko:</t>
  </si>
  <si>
    <t>Základ pro DPH</t>
  </si>
  <si>
    <t>Zadavatel:</t>
  </si>
  <si>
    <t>Kód položky</t>
  </si>
  <si>
    <t>Popis</t>
  </si>
  <si>
    <t>MJ</t>
  </si>
  <si>
    <t>Množství celkem</t>
  </si>
  <si>
    <t>Cena celkem</t>
  </si>
  <si>
    <t>kus</t>
  </si>
  <si>
    <t>m</t>
  </si>
  <si>
    <t>hod</t>
  </si>
  <si>
    <t>Cena MJ</t>
  </si>
  <si>
    <t>Stavba, název akce:</t>
  </si>
  <si>
    <t>Část, díl, objekt:</t>
  </si>
  <si>
    <t>Zadavatel, investor:</t>
  </si>
  <si>
    <t>Zpracovatel:</t>
  </si>
  <si>
    <t>Hlavní části stavby:</t>
  </si>
  <si>
    <t>CENA ZA STAVBU CELKEM</t>
  </si>
  <si>
    <t>Celkem hlavní části stavby:</t>
  </si>
  <si>
    <t>Ostatní náklady stavby</t>
  </si>
  <si>
    <t>DPH 21%</t>
  </si>
  <si>
    <t>Ostatní náklady stavby:</t>
  </si>
  <si>
    <t>Název stavby:</t>
  </si>
  <si>
    <t>Č.</t>
  </si>
  <si>
    <t>Celkem ostatní části stavby:</t>
  </si>
  <si>
    <t>Vypracoval:</t>
  </si>
  <si>
    <r>
      <t>m</t>
    </r>
    <r>
      <rPr>
        <vertAlign val="superscript"/>
        <sz val="9"/>
        <rFont val="Calibri"/>
        <family val="2"/>
        <charset val="238"/>
        <scheme val="minor"/>
      </rPr>
      <t>2</t>
    </r>
  </si>
  <si>
    <t>Geodetické práce před výstavbou</t>
  </si>
  <si>
    <t>soubor</t>
  </si>
  <si>
    <t>Geodetické práce po výstavbě</t>
  </si>
  <si>
    <t>Vybavení staveniště, přenosné zdroje, zabezpečení staveniště, sociální zařízení, včetně jeho odstranění</t>
  </si>
  <si>
    <t>Projektová dokumentace skutečného provedení stavby - DSPS</t>
  </si>
  <si>
    <t>Geotechnický dozor stavby</t>
  </si>
  <si>
    <t>Přípravné a přidružené práce a dočasné zajištění staveniště</t>
  </si>
  <si>
    <t>Zhotovení nátěru ocelových konstrukcí třídy I, jednosložkového vrchního, tloušťky do 40 μm</t>
  </si>
  <si>
    <t>F NÁKLADY STAVBY</t>
  </si>
  <si>
    <t>Název části:</t>
  </si>
  <si>
    <t>KRYCÍ LIST NÁKLADŮ STAVBY</t>
  </si>
  <si>
    <t>agreg.</t>
  </si>
  <si>
    <t>Lokální kotvení skalních bloků</t>
  </si>
  <si>
    <t>Trny z oceli prováděné horolezeckou technikou, zainjektované cem. maltou - statická zatěžovací zkouška</t>
  </si>
  <si>
    <t>Zhotovení nátěru ocelových konstrukcí třídy I, jednosložkového, krycího (vrchního), tloušťky do 40 μm</t>
  </si>
  <si>
    <t xml:space="preserve">Montáž ocelové sítě na skalní stěnu prováděná horolezeckou technikou   </t>
  </si>
  <si>
    <t>Montáž ocelového lana pro uchycení sítě, prováděná horolezeckou technikou, pr. do 10 mm</t>
  </si>
  <si>
    <t>Lano ocelové, šestipramenné 6 x 19 drátů, pozinkované, 1 770 Mpa, D 10 mm</t>
  </si>
  <si>
    <t>Očištění skalních ploch horolezeckou technikou - odstr. keřů a stromů do pr. 10 cm vč. stažení k zemi, odklizení na hromady na vzd. do 50 m nebo naložení na dopravní prostředek</t>
  </si>
  <si>
    <r>
      <t>m</t>
    </r>
    <r>
      <rPr>
        <vertAlign val="superscript"/>
        <sz val="9"/>
        <rFont val="Calibri"/>
        <family val="2"/>
        <charset val="238"/>
        <scheme val="minor"/>
      </rPr>
      <t>3</t>
    </r>
  </si>
  <si>
    <t>012103000</t>
  </si>
  <si>
    <t>012303000</t>
  </si>
  <si>
    <t>013254000</t>
  </si>
  <si>
    <t>041503000</t>
  </si>
  <si>
    <t>030001000</t>
  </si>
  <si>
    <t>Sanace skal - DPS 2021</t>
  </si>
  <si>
    <t>Město Znojmo, Obroková 1/12, 669 22 Znojmo</t>
  </si>
  <si>
    <t>Pokládka ochranných gumových plátů, včetně jejich odstranění po dokončení stavby</t>
  </si>
  <si>
    <t>155213611-R</t>
  </si>
  <si>
    <t>Šroubovací ocelové pZn oko se závitem pro injekční zavrtávací tyč pr. 32 mm, včetně montáže</t>
  </si>
  <si>
    <t xml:space="preserve">Montáž pletiva na sloupky záchytného plotu prováděná horolezeckou technikou   </t>
  </si>
  <si>
    <t>Geotextilie netkaná pro ochranu, separaci nebo filtraci měrná hmotnost do 200 g/m²</t>
  </si>
  <si>
    <t>919726121-R</t>
  </si>
  <si>
    <t>155214521-R</t>
  </si>
  <si>
    <t>Trny z injekčních zavrtávacích tyčí prováděné horolezeckou technikou zainjektované cem. maltou pr. 32 mm včetně vrtů přenosnými vrtacími kladivy na ztracenou korunku průměru 51 mm, délky přes 2 do 3 m</t>
  </si>
  <si>
    <t>Polyamidová uzlová síť s rozměrem ok 80 x 80 mm ze šňůrky min. pr. 3,5 mm</t>
  </si>
  <si>
    <t>Demontáž dočasné, ochranné konstrukce prováděná horolezeckou technikou</t>
  </si>
  <si>
    <t>Ochrana stavebních konstrukcí a samostatných prvků včetně pozdějšího odstranění obedněním z OSB desek samostatných konstrukcí a prvků</t>
  </si>
  <si>
    <t>Odstranění vegetace, očištění, odtěžení a obnova aku. prostoru</t>
  </si>
  <si>
    <t>Očištění skalních ploch horolezeckou technikou - očištění ručními nástroji, motykami a páčidly</t>
  </si>
  <si>
    <t>112155315-R</t>
  </si>
  <si>
    <t>Štěpkování keřového porostu hustého s naložením na dopravní prostředek</t>
  </si>
  <si>
    <t>Odtěžení nestabilních hornin ze skalních stěn, horolezeckou technikou, s přehozením na vzdálenost do 3 m nebo s naložením na dopravní prostředek, s použitím pneumatického nářadí</t>
  </si>
  <si>
    <t>Vrty do skalních stěn prováděné horolezeckou technikou, hloubky do 5 m, přenosnými vrtacími kladivy, průměru do 56 mm, v hornině třídy III a IV</t>
  </si>
  <si>
    <t>Trny z oceli prováděné horolezeckou technikou bez oka z celozávitové oceli pro uchycení sítí zainjektované cementovou maltou délky do 3 m, průměru přes 20 do 26 mm</t>
  </si>
  <si>
    <t>Injektování aktivovanými směsmi, vzestupné, tlakem do 0,6 Mpa</t>
  </si>
  <si>
    <t>Geotechnický monitoring</t>
  </si>
  <si>
    <t>Instalace geotechnického, postsanačního monitoringu, včetně nultého měření</t>
  </si>
  <si>
    <t>Přesuny hmot</t>
  </si>
  <si>
    <t>Nakládání suti a vybouraných hmot na dopravní prostředek, pro vodorovné přemístění</t>
  </si>
  <si>
    <t>t</t>
  </si>
  <si>
    <t>Vodorovné přemístění suti a vybourání hmot bez naložení, se složením a hrub. urovnáním na vzd. do 1 km</t>
  </si>
  <si>
    <t>Příplatek k ceně za vodorovné přemístění suti vybouraných hmot, ZKD 1 km přes 1 km</t>
  </si>
  <si>
    <t>tkm</t>
  </si>
  <si>
    <t>Poplatek za uložení stavebního odpadu na recyklační skládce (skládkovné), zatříděného do Katalogu odpadů pod kódem 17 05 04: Zemina a kamení, nekontaminované</t>
  </si>
  <si>
    <t>997013873-R</t>
  </si>
  <si>
    <t>Poplatek za uložení stavebního odpadu na recyklační skládce (skládkovné), zatříděného do Katalogu odpadů pod kódem 02 01 03: Smýcené stromy a keře, nekontaminované</t>
  </si>
  <si>
    <t>Provádění měření dilatací 2x ročně, po dobu 3 roků</t>
  </si>
  <si>
    <t>DB18</t>
  </si>
  <si>
    <t>Zajištění skalního svahu ocelovou sítí 80 x 100 mm</t>
  </si>
  <si>
    <t>Dvouzákrutová síť ZnAl s výrobně vpleteným lanem pr. 8 mm, po 1 m, oko 80 x 100 mm, drát pr. 2,7 mm</t>
  </si>
  <si>
    <t>Lano ocelové, šestipramenné 6 x 19 drátů, pozinkované, 1 770 Mpa, D 8 mm</t>
  </si>
  <si>
    <t>Ochranný plot výšky do 2 m</t>
  </si>
  <si>
    <t>Vrty do skalních stěn prováděné horolezeckou technikou, hloubky do 5 m, průběžným sacím vrtáním, průměru přes 93 do 156 mm, úklonu do 45°, v hornině třídy III a IV</t>
  </si>
  <si>
    <t>Základové konstrukce z betonu prostého, patky a bloky, ve výkopu, z betonu třídy C 25/30, včetně dodání a uložení betonu do připravené konstrukce</t>
  </si>
  <si>
    <t>Sloupky plotu osazené do vrtů, včetně vystředění a zalití cem. injekční směsí pro plot těžký, včetně dodání ocel. trubkek dl. do 3 m, pr. do 89/10 mm</t>
  </si>
  <si>
    <t>Ukotvení sloupků lany, včetně dodání spojovacího materiálu a šestipramenného ocel. lana 6 x 19 drátů, pozinkovaného, 1 770 Mpa, pr. do 10 mm</t>
  </si>
  <si>
    <t>Dvouzákrutová síť ZnAl, oko 60 x 80 mm, drát pr. 2,2 mm</t>
  </si>
  <si>
    <t xml:space="preserve">Montáž ztužujících lan k pletivu záchytného plotu prováděná horolezeckou technikou   </t>
  </si>
  <si>
    <t>Zhotovení nátěru ocelových konstrukcí třídy I jednosložkového základního, tloušťky do 40 μm</t>
  </si>
  <si>
    <t>Dynamická bariéra výšky do 4 m</t>
  </si>
  <si>
    <t>Maloprofilové vrty průběžným sacím vrtáním, průměru přes 56 do 93 mm, do úklonu 45°, v hl 0 až 25 m, v hornině třídy V a VI</t>
  </si>
  <si>
    <t>Maloprofilové vrty průbežným sacím vrtáním, průměru přes 93 do 156 mm, do úklonu 45°, v hl 0 až 25 m, v hornině třídy V a VI</t>
  </si>
  <si>
    <t>Bednění základových konstrukcí, patek a bloků, zřízení</t>
  </si>
  <si>
    <t>Bednění základových konstrukcí, patek a bloků, odstranění a očištění</t>
  </si>
  <si>
    <t>Trny z oceli prováděné horolezeckou technikou bez oka z celozávitové oceli pro uchycení sítí zainjektované cementovou maltou délky přes 3 do 5 m, průměru přes 26 do 32 mm</t>
  </si>
  <si>
    <t>Montáž dynamické bariéry, prováděná horolezeckou technikou, II. skupiny (odolnost do 2 000 kJ)</t>
  </si>
  <si>
    <t>155215121-R</t>
  </si>
  <si>
    <t>Dynamická bariéra II. skupiny (odolnost do 1 500 kJ), včetně všech kotevních prvků a spojovacího sortimentu</t>
  </si>
  <si>
    <t>31319111-R</t>
  </si>
  <si>
    <t>Dvouzákrutová síť Zn, oko 80 x 100 mm, drát pr. 2,2 mm v kombinaci s kruhovým Zn panelem, oko 350 mm</t>
  </si>
  <si>
    <t>Montáž ocelového lana pro uchycení sítě, prováděná horolezeckou technikou, pr. přes 10 mm</t>
  </si>
  <si>
    <t>155214212-R</t>
  </si>
  <si>
    <t>Lano ocelové, šestipramenné 6 x 19 drátů, pozinkované, 1 770 Mpa, D 20 mm</t>
  </si>
  <si>
    <t>Trny z oceli prováděné horolezeckou technikou s okem z betonářské oceli pro uchycení lana při montáži sítí a sloupků záchytného plotu zainjektované cementovou maltou délky přes 3 do 5 m, průměru přes 26 do 32 mm</t>
  </si>
  <si>
    <t>Trny z oceli prováděné horolezeckou technikou s okem z betonářské oceli pro uchycení lana při montáži sítí a sloupků záchytného plotu zainjektované cementovou maltou délky do 3 m, průměru přes 26 do 32 mm</t>
  </si>
  <si>
    <t>Přesun hmot pro piloty, kůly, jehly, zápory, štětové nebo tabulové stěny ocelové nebo dřevěné, zřizované z terénu</t>
  </si>
  <si>
    <t>Hloubení jam ručně zapažených i nezapažených s urovnáním dna do předepsaného profilu a spádu v hornině třídy těžitelnosti I skupiny 3 nesoudržných s přehozením výkopku na vzd do 3 m nebo s naložením na dopravní prostředek</t>
  </si>
  <si>
    <t>Trny z injekčních zavrtávacích tyčí prováděné horolezeckou technikou zainjektované cem. maltou pr. 32 mm včetně vrtů přenosnými vrtacími kladivy na ztracenou korunku průměru 51 mm, délky do 2 m</t>
  </si>
  <si>
    <t>Odkopávky a prokopávky ručně zapažené i nezapažené s přehozením výkopku na vzd. do 3 m nebo s naložením na dopravní prostředek v hornině třídy těžitelnosti I, skupiny 3</t>
  </si>
  <si>
    <t>Vodorovná doprava suti stavebním kolečkem s naložením a se složením ze sypkých materiálů, na vzdálenost do 50 m</t>
  </si>
  <si>
    <r>
      <rPr>
        <b/>
        <i/>
        <sz val="10"/>
        <rFont val="Calibri"/>
        <family val="2"/>
        <charset val="238"/>
      </rPr>
      <t>Počet stránek:</t>
    </r>
    <r>
      <rPr>
        <sz val="10"/>
        <rFont val="Calibri"/>
        <family val="2"/>
        <charset val="238"/>
      </rPr>
      <t xml:space="preserve"> 5</t>
    </r>
  </si>
  <si>
    <r>
      <t>Dl. úseku 12 m x šířka 3 m + 20 % ztratné na překryvy a prořezy; zaokr. na celý
0,1 m</t>
    </r>
    <r>
      <rPr>
        <vertAlign val="superscript"/>
        <sz val="9"/>
        <rFont val="Calibri"/>
        <family val="2"/>
        <charset val="238"/>
        <scheme val="minor"/>
      </rPr>
      <t>2</t>
    </r>
  </si>
  <si>
    <t>V průběhu stavby nesmí dojít k poškození povrchu nádvoří za objektem rodinného domu č. p. 526. V době a v místě provádění sanačních prací (čištění a odtěžování skalního masivu) bude povrch nádvoří před mechanickým poškozením při pádu horniny, chráněný gumovými pláty. Za realizaci a také odstranění po dokončení stavby je zodpovědný dodavatel sanačních prací.</t>
  </si>
  <si>
    <r>
      <t>Obednění koruny zídky (délka 3 m x šířka 0,7 m x 3 ks); zaokr. na celý 0,1 m</t>
    </r>
    <r>
      <rPr>
        <vertAlign val="superscript"/>
        <sz val="9"/>
        <rFont val="Calibri"/>
        <family val="2"/>
        <charset val="238"/>
        <scheme val="minor"/>
      </rPr>
      <t>2</t>
    </r>
  </si>
  <si>
    <t>Koruna stávající kamenné zídky bude v průběhu stavby chráněna dřevěným bedněním. Za realizaci a také odstranění po dokončení stavby je zodpovědný dodavatel sanačních prací.</t>
  </si>
  <si>
    <t>Celková dl. záchytné k-ce (20 + 13 + 20 m) / osová vzd. sloupků 4 m + 3 ks krajní; zaokr. na celý ks</t>
  </si>
  <si>
    <t>Zavrtávací injekční tyče z oceli 28Mn6 (280 kN), min. ø 32 mm, dl. min. 3 m pro realizaci sloupků dočasné záchytné k-ce, celkové výšky min. 2 m nad terénem. Založení bude hl. min. 1 m, osově přibližně po 4 m.</t>
  </si>
  <si>
    <t>Pol. č. 3</t>
  </si>
  <si>
    <t>Každý sloupek bude osazený šroubovacím ocelovým pZn okem se závitem pro příslušný průměr tyče 32 mm.</t>
  </si>
  <si>
    <r>
      <t>Celková dl. záchytné k-ce (20 + 13 + 20 m) x výška 3 m; zaokr. na celý m</t>
    </r>
    <r>
      <rPr>
        <vertAlign val="superscript"/>
        <sz val="9"/>
        <rFont val="Calibri"/>
        <family val="2"/>
        <charset val="238"/>
        <scheme val="minor"/>
      </rPr>
      <t>2</t>
    </r>
  </si>
  <si>
    <t>Montáž kompozitní sítě na sloupky, včetně navázání ke každému sloupku. Celková výška této k-ce bude min. 2 m nad terénem a 1 m na terénu.</t>
  </si>
  <si>
    <r>
      <t>Pol. č. 5 + 20 % ztratné na překryvy, prořezy a zpětné ohnutí; zaokr. na celý m</t>
    </r>
    <r>
      <rPr>
        <vertAlign val="superscript"/>
        <sz val="9"/>
        <rFont val="Calibri"/>
        <family val="2"/>
        <charset val="238"/>
        <scheme val="minor"/>
      </rPr>
      <t>2</t>
    </r>
  </si>
  <si>
    <t>Plošný záchytný prvek z netkané polypropylenové geotextílie s plošnou hmotností 200 g/m².</t>
  </si>
  <si>
    <t>Pol. č. 6</t>
  </si>
  <si>
    <t>Plošný záchytný prvek z polyamidové uzlové sítě s rozměrem ok 80 x 80 mm ze šňůrky min. ø 3,5 mm.</t>
  </si>
  <si>
    <t>Celková dl. záchytné k-ce (20 + 13 + 20 m); zaokr. na celý m</t>
  </si>
  <si>
    <t>Montáž ocelového pZn lana, přes které bude kompozitní síť vyvěšena.</t>
  </si>
  <si>
    <t>Pol. č. 8 + 20 % ztratné na překryvy, prořezy a zpětné ohnutí; zaokr. na celý m</t>
  </si>
  <si>
    <t>Ocelové pZn lano min. ø 10 mm, šestipramenné, 114 drátů (6 x 19 WSC), třídy pevnosti 1 770 Mpa, jmenovité únosnosti min. 64 kN.</t>
  </si>
  <si>
    <t>Pol. č. 5</t>
  </si>
  <si>
    <t>Demontáž dočasné záchytné k-ce po dokončení stavby. Za realizaci a také odstranění po dokončení stavby je zodpovědný dodavatel sanačních prací.</t>
  </si>
  <si>
    <t>Výkaz výměr</t>
  </si>
  <si>
    <t>Poznámka položky, technická, technologická specifikace, komentář k položce</t>
  </si>
  <si>
    <r>
      <t>100 % z (součtová půdorys. pl. 805,8 m² x koef. sklonu 1,7 x koef. členitosti 1,3); zaokr. na celý m</t>
    </r>
    <r>
      <rPr>
        <vertAlign val="superscript"/>
        <sz val="9"/>
        <rFont val="Calibri"/>
        <family val="2"/>
        <charset val="238"/>
        <scheme val="minor"/>
      </rPr>
      <t>2</t>
    </r>
  </si>
  <si>
    <t>Po provedení zajištění prostoru, budou zahájeny práce na odstranění vegetace v projektem vymezených rozsazích. V současné době je předmětný skalní svah silně porostlý zmlazenými náletovými dřevinami a křovinami (akát, šípek, břečťan) a travním drnem.</t>
  </si>
  <si>
    <t>Pol. č. 11</t>
  </si>
  <si>
    <t>Během realizace bude dřevní hmota na místě zpracována štěpkováním anebo rozřezáním na manipulační díly, naložena, deponována a předána do příslušného zařízení, dle plánovaného koncového využití konkrétního odpadu.</t>
  </si>
  <si>
    <r>
      <t>20 % z (půdorys. pl. skal. svahu pro očištění 527,4 m² x koef. sklonu 3,24 x koef. členitosti 1,3 x mocnost 0,1 m); zaokr. na celý 0,1 m</t>
    </r>
    <r>
      <rPr>
        <vertAlign val="superscript"/>
        <sz val="9"/>
        <rFont val="Calibri"/>
        <family val="2"/>
        <charset val="238"/>
        <scheme val="minor"/>
      </rPr>
      <t>3</t>
    </r>
  </si>
  <si>
    <t>Odstranění svahových pokryvů a povrchově narušených částí čištěných skalních ploch, horolezeckým způsobem, pomocí ručního, případně pneumatického nářadí. Použitelná část skalní horniny bude využita v místě stavby pro realizaci navržené kamenné zídky. Zbylá část bude naložena, deponována a předána do příslušného zařízení, dle plánovaného koncového využití konkrétního odpadu. Rozsah vlastního očištění bude na místě řízen geotechnikem stavby nebo projektantem, dle aktuálně zjištěného stavu zvětrání. Čištění skalního svahu bude vždy probíhat v místech a v rozsazích odsouhlasených zástupcem OŽP Znojmo.</t>
  </si>
  <si>
    <t>Na základě odborného odhadu bude v kritických místech odtěženo: 6,3 + 7,8 + 9,5 m³</t>
  </si>
  <si>
    <r>
      <t>Odtěžení určených, nestabilních bloků o objemu do 1,5 m</t>
    </r>
    <r>
      <rPr>
        <vertAlign val="superscript"/>
        <sz val="9"/>
        <rFont val="Calibri"/>
        <family val="2"/>
        <charset val="238"/>
        <scheme val="minor"/>
      </rPr>
      <t>3</t>
    </r>
    <r>
      <rPr>
        <sz val="9"/>
        <rFont val="Calibri"/>
        <family val="2"/>
        <charset val="238"/>
        <scheme val="minor"/>
      </rPr>
      <t xml:space="preserve"> bude provedeno s použitím ručního a pneumatického nářadí. Odtěžování bude na místě řídit geotechnický dozor stavby nebo projektant. Použitelná část skalní horniny bude využita v místě stavby pro realizaci navržené kamenné zídky. Zbylá část bude naložena, deponována a předána do příslušného zařízení, dle plánovaného koncového využití konkrétního odpadu.</t>
    </r>
  </si>
  <si>
    <r>
      <t>Půdorys. pl. 117,4 m² x prům. výška napadávky horniny, či osyp. kužele 1,1 m x 0,5; zaokr. na celý 0,1 m</t>
    </r>
    <r>
      <rPr>
        <vertAlign val="superscript"/>
        <sz val="9"/>
        <rFont val="Calibri"/>
        <family val="2"/>
        <charset val="238"/>
        <scheme val="minor"/>
      </rPr>
      <t>3</t>
    </r>
  </si>
  <si>
    <t>Z akumulačního prostoru pod skalním svahem bude odtěžena napadaná suť. Dojde tak k výraznému a nutnému obnovení a zvýšení kapacity akumulačního prostoru. Odtěžení materiálu bude provedeno ruční odkopávkou a mocnost a rozsah odtěžení bude na místě řídit geotechnik stavby nebo projektant. Veškeré odtěžené hmoty budou naloženy, deponovány a předány do příslušného zařízení, dle plánovaného koncového využití konkrétního odpadu.</t>
  </si>
  <si>
    <t>Pol. č. 17 x dl. vrtu 3 m</t>
  </si>
  <si>
    <t>Vrty pro kotevní prvky budou min. ø 51 mm a budou se provádět pneumatickými kladivy. Jako výplach bude použit stlačený vzduch. Přesnou polohu a jejich sklon určí geotechnický dozor přímo na stavbě, dle daných geologických podmínek.</t>
  </si>
  <si>
    <t>Odborný odhad na základě návštěvy lokality: 21 ks</t>
  </si>
  <si>
    <t>Celozávitové kotevníní tyče z oceli S670H (670 / 800 MPa), min. ø 25 mm, dl. min. 3 m pro kotvení uvolněných bloků. Každá kotevní tyč bude dodána včetně příslušenství (spojníky, podložka 150 x 150 x 8 mm, matka).</t>
  </si>
  <si>
    <r>
      <t>Pol. č. 17 x pl. 1 mb tyče 0,079522 m² x koef. zohledňující závit 1,3 x dl. kotev. prvku 3 m; zaokr. na celý m</t>
    </r>
    <r>
      <rPr>
        <vertAlign val="superscript"/>
        <sz val="9"/>
        <rFont val="Calibri"/>
        <family val="2"/>
        <charset val="238"/>
        <scheme val="minor"/>
      </rPr>
      <t>2</t>
    </r>
  </si>
  <si>
    <t>Nátěr kotevních prvků kompozitní pryskyřicí na bázi polymerů. Hustota 1,1421 g/cm³, obsah celkového org. uhlíku 0,336 kg/kg. Všechny kotevní prvky s podložkou, matkou a spojníky budou opatřeny antikorozním nátěrem v barevném odstínu RAL 7032, ještě před instalací do vrtu.</t>
  </si>
  <si>
    <t>Pol. č. 16 x 0,2 h/bm vrtu</t>
  </si>
  <si>
    <t>Realizace kotevní zálivky aktivovanými směsmi s ruční přípravou a aktivací na místě. Pro tento účel bude použitý cement CEMII/B-M (V-LL) 32,5 R.</t>
  </si>
  <si>
    <t>Odborný odhad geotechnika dle členitosti skalní stěny a četnosti, velikosti a šířky puklin: 2 ks</t>
  </si>
  <si>
    <t>Statická zatěžovací zkouška provedena na geotechnikem vytipovaných místech ve skalní stěně, vytržením.</t>
  </si>
  <si>
    <t>Pol. č. 22 x dl. vrtu 2 m</t>
  </si>
  <si>
    <t>Vrty pro kotevní prvky budou min. ø 40 mm s úklonem vrtu 5° a budou se provádět pneumatickými kladivy. Jako výplach bude použit stlačený vzduch. Skutečné rozmístění kotevních prvků sítě určí geotechnický dozor zhotovitele přímo na stavbě dle daných geologických podmínek.</t>
  </si>
  <si>
    <t>(Součet horizont. dl. síťované pl. 32 m x koef. členitosti 1,2 / os. vzd. prvků 3 m + 3 ks krajních) + (součet vertikál. dl. síťované pl. 17 m x koef. členitosti 1,2 / os. vzd. prvků 2 m + 3 ks krajních) + pol. č. 25 / (rastr 3 x 2 m) + 20 % ztratné na překryvy a prokopírování terénu; zaokr. na celý ks</t>
  </si>
  <si>
    <t>Celozávitové kotevníní tyče z oceli S670H (670 / 800 MPa), min. ø 25 mm, dl. min. 2 m pro kotvení ocelové sítě ke skalnímu svahu. Každá kotevní tyč bude dodána včetně příslušenství (spojníky, podložka 150 x 150 x 8 mm, matka). Pro zajištění sítě na nedostatečně přiléhajících místech budou použity ty samé kotevní tyče.</t>
  </si>
  <si>
    <r>
      <t>Pol. č. 22 x pl. 1 mb tyče 0,079522 m² x koef. zohledňující závit 1,3 x dl. kotev. prvku 2 m; zaokr. na celý m</t>
    </r>
    <r>
      <rPr>
        <vertAlign val="superscript"/>
        <sz val="9"/>
        <rFont val="Calibri"/>
        <family val="2"/>
        <charset val="238"/>
        <scheme val="minor"/>
      </rPr>
      <t>2</t>
    </r>
  </si>
  <si>
    <t>Pol. č. 21 x 0,2 h/bm vrtu; zaokr. na celou 0,1 h</t>
  </si>
  <si>
    <r>
      <t>Půdorys. pl. 45,2 m² x koef. sklonu 3,42 x koef. členitosti 1,2; zaokr. na celý m</t>
    </r>
    <r>
      <rPr>
        <vertAlign val="superscript"/>
        <sz val="9"/>
        <rFont val="Calibri"/>
        <family val="2"/>
        <charset val="238"/>
      </rPr>
      <t>2</t>
    </r>
  </si>
  <si>
    <t>Montáž ocelové sítě, včetně rozvinutí a vytažení na skalní stěnu, jejich spojení předepsaným spojovacím materiálem, včetně jeho dodání a přitažení podložek a matic na ocelové trny.</t>
  </si>
  <si>
    <t>Pol. č. 25 + 20 % ztratné na překryvy, prořezy a zpětné ohnutí</t>
  </si>
  <si>
    <t>Dvouzákrutová ocel. ZnAl síť s oky 80 x 100 mm s výrobně podélně vpletenými lany ø 8 mm, á 1 m. Tahová pevnost sítě min. 50 kN/m, tahová pevnost pásu sítě min. 219 kN. Drát pletiva min. ø 2,7 mm, tahová pevnost 350 - 550 Mpa.</t>
  </si>
  <si>
    <t>(Součet horizont. a vertikal. dl. síťované pl. (32 + 17 m) + lano pro vzájemné spojení jednotlivých pásů sítě 54 m) x koef. členitosti 1,2; zaokr. na celý m</t>
  </si>
  <si>
    <t>Montáž ocelových lan pro vlastní uchycení sítě po obvodu a vzájemné spojení jednotlivých pásů sítě, včetně manipulace s lanem, montáže a dodání spojovacího materiálu.</t>
  </si>
  <si>
    <r>
      <t>(Pol. č. 25 x 0,29 mb lana/m</t>
    </r>
    <r>
      <rPr>
        <vertAlign val="superscript"/>
        <sz val="9"/>
        <rFont val="Calibri"/>
        <family val="2"/>
        <charset val="238"/>
      </rPr>
      <t>2</t>
    </r>
    <r>
      <rPr>
        <sz val="9"/>
        <rFont val="Calibri"/>
        <family val="2"/>
        <charset val="238"/>
      </rPr>
      <t xml:space="preserve"> sítě x koef. členitosti 1,2) + 20 % ztratné na prořezy, překryvy a zpětné ohnutí; zaokr. na celý m</t>
    </r>
  </si>
  <si>
    <t>Ocelové pZn lano min. ø 8 mm, šestipramenné, 114 drátů (6 x 19 WSC), třídy pevnosti 1 770 Mpa, jmenovité únosnosti min. 41 kN.</t>
  </si>
  <si>
    <t>Součet horizont. a vertikal. dl. síťované pl. (32 + 17 m) x koef. členitosti 1,2 + 20 % ztratné na prořezy, překryvy a zpětné ohnutí; zaokr. na celý m</t>
  </si>
  <si>
    <t>Pol. č. 33 x dl. vrtu 1,1 m</t>
  </si>
  <si>
    <t>Realizace vrtů pro sloupy ochranného plotu. Vrtání bude průběžným sacím vrtáním min. ø 150 mm, hloubky min. 1,1 m a v osové vzdálenosti á 2 m.</t>
  </si>
  <si>
    <r>
      <t>(Pol. č. 33 + 35) x rozměr bet. patky 0,5 x 0,5 x 0,6 m; uvažováno s kombinací vrtu a patky hl. cca 1/2 vrtu; zaokr. na celý 0,1 m</t>
    </r>
    <r>
      <rPr>
        <vertAlign val="superscript"/>
        <sz val="9"/>
        <rFont val="Calibri"/>
        <family val="2"/>
        <charset val="238"/>
        <scheme val="minor"/>
      </rPr>
      <t>3</t>
    </r>
  </si>
  <si>
    <t>Ve výjimečných případech budou sloupy osazeny do základových patek anebo kombinace vrtu a patky. Jedná se o místa realizace sloupů v zemním svahu, mělkém kvartérním krytu anebo v místech, kde se předpokládá rychlé zvětrání skalního svahu.</t>
  </si>
  <si>
    <t>Pol. č. 31</t>
  </si>
  <si>
    <t>Základové patky z betonu třídy C25/30 XC2, rozměru cca 0,5 x 0,5 x 0,6 m. Skutečný tvar bude dle provedení výkopu, dle místních základových poměrů.</t>
  </si>
  <si>
    <t>Celková dl. plotů (12 + 22 m) / osová vzd. sloupů 2 m + 2 ks krajní; zaokr. na celý ks</t>
  </si>
  <si>
    <t>Sloupy plotu budou z ocel. trubek ø 89/10 mm, dl. 3 m, se zavařenou hlavu. Budou mít navařený oka pro vedení horního a dolního lana. Hl. založení bude min. 1/3 dl. sloupu. Všechny sloupy budou opatřeny antikorozním krycím nátěrem v barevném odstínu RAL 7032, ještě před instalací do vrtu / bet. patky. Aby se zabránilo kondenzaci vlhkosti vzduchu a následné korozi zevnitř sloupů, bude každý opatřen dvěma otvory ø 10 mm, dole a nahoře.</t>
  </si>
  <si>
    <t>Pol. č. 33 + (2 + 2 ks krajní); zaokr. na celý ks</t>
  </si>
  <si>
    <t>Sloupy plotu budou kotveny v ose a také kolmo ke skalnímu svahu, systémem 2 sloupy na 1 kotevní prvek. V místech změny vedení plotu, či v místech s výrazněji porušenou tektonikou svahu budou kotveny jednotlivě.</t>
  </si>
  <si>
    <t>Pol. č. 33 / 2 ks sl. na jeden kotevní prvek + (2 + 2 ks krajní); zaokr. na celý ks</t>
  </si>
  <si>
    <t>Vlastní kotvení bude realizováno pomocí ocelového pZn lana min. ø 10 mm s konstrukcí 6 x 19 + WSC, třídy pevnosti 1 770 MPa, jmenovité únosnosti min. 64 kN, přes zavrtávací injekční tyč z oceli 28Mn6 (280 kN), min ø 32 mm, délky min. 1,5 m do vrtu min. ø 51 mm anebo do základové patky z betonu třídy C25/30 XC2, rozměru cca 0,5 x 0,5 x 0,6 m. Skutečný tvar bude dle provedení výkopu, dle místních základových poměrů.</t>
  </si>
  <si>
    <t>Pol. č. 35</t>
  </si>
  <si>
    <t>Každá zavrtávací injekční tyč bude osazena šroubovacím ocelovým pZn okem se závitem pro příslušný průměr tyče 32 mm.</t>
  </si>
  <si>
    <r>
      <t>(Pl. 1 mb sloupu 0,292044 m² x dl. sloupu 3 m x pol. č. 33) + (pl. 1 mb tyče 0,079522 m² x koef. zohledňující závit 1,3 x dl. kotev. prvku 1,1 m x pol. č. 35); zaokr. na celý m</t>
    </r>
    <r>
      <rPr>
        <vertAlign val="superscript"/>
        <sz val="9"/>
        <rFont val="Calibri"/>
        <family val="2"/>
        <charset val="238"/>
        <scheme val="minor"/>
      </rPr>
      <t>2</t>
    </r>
  </si>
  <si>
    <t>Nátěr kotevních prvků a sloupů kompozitní pryskyřicí na bázi polymerů. Hustota 1,1421 g/cm³, obsah celkového org. uhlíku 0,336 kg/kg. Všechny kotevní prvky s podložkou, matkou, spojníky a také sloupy budou opatřeny antikorozním nátěrem v barevném odstínu RAL 7032, ještě před instalací do vrtu / bet. patky.</t>
  </si>
  <si>
    <r>
      <t>(Pl. 1 mb sloupu 0,292044 m² x dl. sloupu 3 m x pol. č. 33) x 2 vrstvy; zaokr. na celý m</t>
    </r>
    <r>
      <rPr>
        <vertAlign val="superscript"/>
        <sz val="9"/>
        <rFont val="Calibri"/>
        <family val="2"/>
        <charset val="238"/>
        <scheme val="minor"/>
      </rPr>
      <t>2</t>
    </r>
  </si>
  <si>
    <t>Nátěr sloupů kompozitní pryskyřicí na bázi polymerů. Hustota 1,1421 g/cm³, obsah celkového org. uhlíku 0,336 kg/kg. Všechny sloupy budou opatřeny antikorozním nátěrem v barevném odstínu RAL 7032, ještě před instalací do vrtu / bet. patky.</t>
  </si>
  <si>
    <r>
      <t>Celková dl. plotů (12 + 22 m) x šířka pásu pletiva 2 m; zaokr. na celý m</t>
    </r>
    <r>
      <rPr>
        <vertAlign val="superscript"/>
        <sz val="9"/>
        <rFont val="Calibri"/>
        <family val="2"/>
        <charset val="238"/>
        <scheme val="minor"/>
      </rPr>
      <t>2</t>
    </r>
  </si>
  <si>
    <t>Pás pletiva bude instalován podélně a v místě napojení na další pás bude proveden překryv na šířku min. 0,2 m. Jednotlivé pásy budou spájeny c-kroužky, max. po 0,1 m. Pletivo bude vázáno ke každému druhému sloupu pomocí vázacího drátu min. ø 2,2 mm. Pletivo bude instalováno na stranu sloupů směrem dolů po svahu, s nadzemní výškou 1,8 m a ve spodní linii bude provedeno zpětné zahnutí 0,2 m pletiva směrem proti stoupání svahu. Poté bude pletivo položeno na zem a přitíženo kameny.</t>
  </si>
  <si>
    <r>
      <t>Pol. č. 39 + 20 % ztratné na překryvy, prořezy a zpětné ohnutí; zaokr. na celý m</t>
    </r>
    <r>
      <rPr>
        <vertAlign val="superscript"/>
        <sz val="9"/>
        <rFont val="Calibri"/>
        <family val="2"/>
        <charset val="238"/>
        <scheme val="minor"/>
      </rPr>
      <t>2</t>
    </r>
  </si>
  <si>
    <t>Dvouzákrutová ocel. HZn síť s oky 60 x 80 mm. Tahová pevnost sítě min. 37 kN/m, tahová pevnost pásu sítě min. 117 kN. Drát pletiva min. ø 2,2 mm, tahová pevnost 350 - 550 Mpa.</t>
  </si>
  <si>
    <t>Celková dl. plotů (12 + 22 m) x 5 ks lan; zaokr. na celý m</t>
  </si>
  <si>
    <t>Montáž ztužujících lan k pletivu, včetně manipulace s lanem, montáže a dodání spojovacího materiálu. Mezi sloupy plotu budou nejdřív, přes navařená oka, natažena hlavní ocelová pZn lana min. ø 10 mm, která budou u krajních sloupů kotvena ke skalnímu svahu. Na takto připravená lana bude následně instalováno ocel. pletivo.</t>
  </si>
  <si>
    <t>Pol. č. 41 + 20 % ztratné na prořezy, překryvy a zpět. ohnutí; zaokr. na celý m</t>
  </si>
  <si>
    <t>(Pol. č. 50 + 51) x dl. vrtu 4 m + pol. č. 52 x dl. vrtu 2 m</t>
  </si>
  <si>
    <t>Realizace vrtů pro založení sloupů dynamické bariéry, deviační kotvení a kotvení dopletů terénních depresí. Vrty budou provedeny bezjádrovým vrtáním o průměru vrtu min. ø 70 mm se vzduchovým výplachem.</t>
  </si>
  <si>
    <t>(4 + 5 ks) x dl. vrtu 5 m + (4 + 4 ks) x dl. vrtu 6 m</t>
  </si>
  <si>
    <t>Realizace vrtů pro kotvení dynamické bariéry. Vrty budou provedeny bezjádrovým vrtáním o průměru vrtu min. ø 114 mm se vzduchovým výplachem.</t>
  </si>
  <si>
    <r>
      <t>(Půdorys. pl. 3,7 m</t>
    </r>
    <r>
      <rPr>
        <vertAlign val="superscript"/>
        <sz val="9"/>
        <rFont val="Calibri"/>
        <family val="2"/>
        <charset val="238"/>
        <scheme val="minor"/>
      </rPr>
      <t>2</t>
    </r>
    <r>
      <rPr>
        <sz val="9"/>
        <rFont val="Calibri"/>
        <family val="2"/>
        <charset val="238"/>
        <scheme val="minor"/>
      </rPr>
      <t xml:space="preserve"> x hl. 0,8 m) + (půdorys. pl. 5,3 m</t>
    </r>
    <r>
      <rPr>
        <vertAlign val="superscript"/>
        <sz val="9"/>
        <rFont val="Calibri"/>
        <family val="2"/>
        <charset val="238"/>
        <scheme val="minor"/>
      </rPr>
      <t>2</t>
    </r>
    <r>
      <rPr>
        <sz val="9"/>
        <rFont val="Calibri"/>
        <family val="2"/>
        <charset val="238"/>
        <scheme val="minor"/>
      </rPr>
      <t xml:space="preserve"> x hl. 1 m) + (půdorys. pl. 1,2 m</t>
    </r>
    <r>
      <rPr>
        <vertAlign val="superscript"/>
        <sz val="9"/>
        <rFont val="Calibri"/>
        <family val="2"/>
        <charset val="238"/>
        <scheme val="minor"/>
      </rPr>
      <t>2</t>
    </r>
    <r>
      <rPr>
        <sz val="9"/>
        <rFont val="Calibri"/>
        <family val="2"/>
        <charset val="238"/>
        <scheme val="minor"/>
      </rPr>
      <t xml:space="preserve"> x 0,8 m) + (půdorys. pl. 1,6 m</t>
    </r>
    <r>
      <rPr>
        <vertAlign val="superscript"/>
        <sz val="9"/>
        <rFont val="Calibri"/>
        <family val="2"/>
        <charset val="238"/>
        <scheme val="minor"/>
      </rPr>
      <t>2</t>
    </r>
    <r>
      <rPr>
        <sz val="9"/>
        <rFont val="Calibri"/>
        <family val="2"/>
        <charset val="238"/>
        <scheme val="minor"/>
      </rPr>
      <t xml:space="preserve"> x hl. 1 m)</t>
    </r>
  </si>
  <si>
    <t>V projektem stanovených místech bude provedeno odtěžení bloků skalního masivu, které by kolidovaly s budovanou konstrukcí. Skalní hornina bude rozpojena pomocí sbíjecích kladiv, případně hydraulických klínů. Zemina či skalní hornina musí být v trase navržené bariéry odstraněna všude tam, kde by docházelo při vypnutí spodního podélného lana k jeho zdvihu o terén – lano musí mezi ocelovými patkami procházet volně položené na terénu.</t>
  </si>
  <si>
    <r>
      <t>Rozměr bet. patky (0,5 x 0,5 x 0,8 m) x počet všech patek (3 + 4 ks); zaokr. na celý 0,1 m</t>
    </r>
    <r>
      <rPr>
        <vertAlign val="superscript"/>
        <sz val="9"/>
        <rFont val="Calibri"/>
        <family val="2"/>
        <charset val="238"/>
        <scheme val="minor"/>
      </rPr>
      <t>3</t>
    </r>
  </si>
  <si>
    <t>Sloupy dynamické bariéry budou osazeny do vrtu v kombinaci s bet. základovou patkou. Jedná se o místa realizace sloupů v zemním svahu, mělkém kvartérním krytu anebo v místech, kde se předpokládá rychlé zvětrání skalního svahu.</t>
  </si>
  <si>
    <r>
      <t>Pl. bednění bet. patky (0,5 x 0,8 m x 4 ks) x počet všech patek (3 + 4 ks); zaokr. na celý m</t>
    </r>
    <r>
      <rPr>
        <vertAlign val="superscript"/>
        <sz val="9"/>
        <rFont val="Calibri"/>
        <family val="2"/>
        <charset val="238"/>
        <scheme val="minor"/>
      </rPr>
      <t>2</t>
    </r>
  </si>
  <si>
    <t>Betonové patky sloupů budou provedeny do dřevěného bednění.</t>
  </si>
  <si>
    <t>Pol. č. 47</t>
  </si>
  <si>
    <t>Odstranění dřevěného bednění.</t>
  </si>
  <si>
    <t>Pol. č. 46</t>
  </si>
  <si>
    <t>Základové patky z betonu třídy C25/30 XC2, rozměru cca 0,5 x 0,5 x 0,8 m. Skutečný tvar bude dle provedení výkopu, dle místních základových poměrů.</t>
  </si>
  <si>
    <t>Počet všech patek 7 ks x 2 ks/sloup</t>
  </si>
  <si>
    <t>Celozávitové kotevní tyče z oceli S670H (670 / 800 MPa), min. ø 28 mm, dl. min. 4 m, do vrtu min. ø 70 mm, pro založení sloupů dynamické bariéry.</t>
  </si>
  <si>
    <t>Počet ks deviačního kotvení výchází z návrhu, odečteno z výkresu: 2 ks</t>
  </si>
  <si>
    <t>Celozávitové kotevní tyče z oceli B550B (550 MPa), min. ø 28 mm, dl. min. 4 m s kovaným okem, do vrtu min. ø 70 mm, pro deviační kotvení sloupů dynamické bariéry.</t>
  </si>
  <si>
    <t>Součtová dl. dopletení (5 + 5 + 14 + 7 m) / os. vzd. prvků 1,5 m + 4 ks krajní; zaokr. na celý ks</t>
  </si>
  <si>
    <t>Celozávitové kotevní tyče z oceli B550B (550 MPa), min. ø 28 mm, dl. min. 2 m s kovaným okem, do vrtu min. ø 70 mm, pro kotvení dopletů terénních depresí.</t>
  </si>
  <si>
    <r>
      <t>Pl. 1 mb tyče 0,089196 m² x koef. zohledňující závit 1,3 x ((pol. č. 50 + 51) x dl. kotev. prvku 4 m + pol. č. 52 x dl. kotev. prvku 2 m); zaokr. na celý m</t>
    </r>
    <r>
      <rPr>
        <vertAlign val="superscript"/>
        <sz val="9"/>
        <rFont val="Calibri"/>
        <family val="2"/>
        <charset val="238"/>
        <scheme val="minor"/>
      </rPr>
      <t>2</t>
    </r>
  </si>
  <si>
    <t>Nátěr kotevních prvků kompozitní pryskyřicí na bázi polymerů. Hustota 1,1421 g/cm³, obsah celkového org. uhlíku 0,336 kg/kg. Všechny kotevní prvky s podložkou, matkou a spojníky budou opatřeny antikorozním nátěrem v barevném odstínu RAL 7032, ještě před instalací do vrtu / bet. patky.</t>
  </si>
  <si>
    <t>(Pol. č. 43 + 44) x 0,5 h/bm vrtu; zaokr. na celou 0,1 h</t>
  </si>
  <si>
    <t>Pol. č. 56</t>
  </si>
  <si>
    <t>Realizace dynamické bariéry, prováděná horolezeckou technikou. Přesná specifikace polohy DB je možná až po provedení prací na odstranění náletu, očištění zvětralých částí a odtěžení nestabilních bloků. Práce bude na místě řídit geotechnik nebo projektant.</t>
  </si>
  <si>
    <t>Součtová dl. dynam. bariér (16 + 30 m) x výška 4 m</t>
  </si>
  <si>
    <t>Sloupy DB budou z válcovaného profilu HEA 140 z oceli S275 JR. Pro hlavní nosná lana bude použito ocelové pZn lano ø 20 mm s konstrukcí 6 x 19 + WSC, třídy pevnosti 1 770 MPa, jmenovité únosnosti min. 256 kN. Pro lana krajní a vrchní bude použito ocelové pZn lano ø 18 mm s konstrukcí 6 x 19 + WSC, třídy pevnosti 1 770 MPa, jmenovité únosnosti min. 207 kN. Pro výplň bariéry bude použito kruhové ocelové pZn pletivo (panel) s rozměrem ok max. 350 mm s jednotlivým drátem ø 3 mm. Jako doplňkové pletivo bude použito ocelové dvouzákrutové pZn pletivo s rozměrem ok 80 x 100 mm z drátu ø 2,2 mm.</t>
  </si>
  <si>
    <r>
      <t>Součtová pl. dopletů (3 + 3 + 20 + 5 m</t>
    </r>
    <r>
      <rPr>
        <vertAlign val="superscript"/>
        <sz val="9"/>
        <rFont val="Calibri"/>
        <family val="2"/>
        <charset val="238"/>
        <scheme val="minor"/>
      </rPr>
      <t>2</t>
    </r>
    <r>
      <rPr>
        <sz val="9"/>
        <rFont val="Calibri"/>
        <family val="2"/>
        <charset val="238"/>
        <scheme val="minor"/>
      </rPr>
      <t>) + 20 % ztratné na prořezy, překryvy a zpět. ohnutí; zaokr. na celý m</t>
    </r>
    <r>
      <rPr>
        <vertAlign val="superscript"/>
        <sz val="9"/>
        <rFont val="Calibri"/>
        <family val="2"/>
        <charset val="238"/>
        <scheme val="minor"/>
      </rPr>
      <t>2</t>
    </r>
  </si>
  <si>
    <t xml:space="preserve">Pro vykrytí terénních depresí formou dopletení bude použito kruhové ocelové pZn pletivo (panel) s rozměrem ok max. 350 mm s jednotlivým drátem ø 3 mm. Jako doplňkové pletivo bude použito ocelové dvouzákrutové pZn pletivo s rozměrem ok 80 x 100 mm z drátu ø 2,2 mm. </t>
  </si>
  <si>
    <t>Součtový obvod dopletů (8 + 8 + 24 + 12 m) x koef. členitosti 1,2; zaokr. na celý m</t>
  </si>
  <si>
    <t>Montáž ocelového pZn lana pro vlastní uchycení dopletů terénních depresí, včetně manipulace s lanem, montáže a dodání spojovacího materiálu.</t>
  </si>
  <si>
    <t>Pol. č. 58 + 20 % ztratné na prořezy, překryvy a zpět. ohnutí; zaokr. na celý m</t>
  </si>
  <si>
    <t>Ocelové pZn lano min. ø 20 mm, šestipramenné, 114 drátů (6 x 19 WSC), třídy pevnosti 1 770 Mpa, jmenovité únosnosti min. 256 kN.</t>
  </si>
  <si>
    <t>Projekt předpokládá realizaci 2 stanovišť pro periodické měření potenciálního pohybu bloků skalního masivu</t>
  </si>
  <si>
    <t>Bude určeno na místě geotechnikem stavby.</t>
  </si>
  <si>
    <t>Jednotná dodávka prací</t>
  </si>
  <si>
    <t>Četnost měření bude 2x ročně, po dobu 3 roků. Předpokládaný termín ukončení měření je 12/2025.</t>
  </si>
  <si>
    <r>
      <t>(Pol. č. 3 x dl. kotev. prvku 3 m x hmot. mb tyče 0,0036 t) + (pol. č. 4 x hmot. ocel. oka 0,0005 t) + (((pol. č. 17 + 20) x dl. kotev. prvku 3 m + pol. č. 22 x dl. kotev. prvku 2 m + pol. č. 35 x dl. kotev. prvku 1,5 m) x hmot. mb tyče 0,00385 t) + (((pol. č. 50 + 51) x dl. kotev. prvku 4 m + pol. č. 52 x dl. kotev. prvku 2 m) x hmot. mb tyče 0,00483 t) + (pol. č. 6 x hmot. m</t>
    </r>
    <r>
      <rPr>
        <vertAlign val="superscript"/>
        <sz val="9"/>
        <rFont val="Calibri"/>
        <family val="2"/>
        <charset val="238"/>
        <scheme val="minor"/>
      </rPr>
      <t>2</t>
    </r>
    <r>
      <rPr>
        <sz val="9"/>
        <rFont val="Calibri"/>
        <family val="2"/>
        <charset val="238"/>
        <scheme val="minor"/>
      </rPr>
      <t xml:space="preserve"> geotextílie 0,00036 t + pol. č. 7 x hmot. m</t>
    </r>
    <r>
      <rPr>
        <vertAlign val="superscript"/>
        <sz val="9"/>
        <rFont val="Calibri"/>
        <family val="2"/>
        <charset val="238"/>
        <scheme val="minor"/>
      </rPr>
      <t>2</t>
    </r>
    <r>
      <rPr>
        <sz val="9"/>
        <rFont val="Calibri"/>
        <family val="2"/>
        <charset val="238"/>
        <scheme val="minor"/>
      </rPr>
      <t xml:space="preserve"> PA sítě 0,00018 t) + (pol. č. 40 x hmot. m</t>
    </r>
    <r>
      <rPr>
        <vertAlign val="superscript"/>
        <sz val="9"/>
        <rFont val="Calibri"/>
        <family val="2"/>
        <charset val="238"/>
        <scheme val="minor"/>
      </rPr>
      <t>2</t>
    </r>
    <r>
      <rPr>
        <sz val="9"/>
        <rFont val="Calibri"/>
        <family val="2"/>
        <charset val="238"/>
        <scheme val="minor"/>
      </rPr>
      <t xml:space="preserve"> sítě 0,00118 t) + (pol. č. 26 x hmot. m</t>
    </r>
    <r>
      <rPr>
        <vertAlign val="superscript"/>
        <sz val="9"/>
        <rFont val="Calibri"/>
        <family val="2"/>
        <charset val="238"/>
        <scheme val="minor"/>
      </rPr>
      <t>2</t>
    </r>
    <r>
      <rPr>
        <sz val="9"/>
        <rFont val="Calibri"/>
        <family val="2"/>
        <charset val="238"/>
        <scheme val="minor"/>
      </rPr>
      <t xml:space="preserve"> sítě 0,00177 t) + (pol. č. 57 x hmot. m</t>
    </r>
    <r>
      <rPr>
        <vertAlign val="superscript"/>
        <sz val="9"/>
        <rFont val="Calibri"/>
        <family val="2"/>
        <charset val="238"/>
        <scheme val="minor"/>
      </rPr>
      <t>2</t>
    </r>
    <r>
      <rPr>
        <sz val="9"/>
        <rFont val="Calibri"/>
        <family val="2"/>
        <charset val="238"/>
        <scheme val="minor"/>
      </rPr>
      <t xml:space="preserve"> sítě 0,00256 t) + (pol. č. 28 x hmot. mb lana 0,00021 t + (pol. č. 9 + 29 + 42) x hmot. mb lana 0,00032 t + pol. č. 59 x hmot. mb lana 0,00128 t) + (pol. č. 33 x dl. sloupu 3 m x hmot. mb sloupu 0,0195 t) + (pol. č. 56 x hmot. m</t>
    </r>
    <r>
      <rPr>
        <vertAlign val="superscript"/>
        <sz val="9"/>
        <rFont val="Calibri"/>
        <family val="2"/>
        <charset val="238"/>
        <scheme val="minor"/>
      </rPr>
      <t>2</t>
    </r>
    <r>
      <rPr>
        <sz val="9"/>
        <rFont val="Calibri"/>
        <family val="2"/>
        <charset val="238"/>
        <scheme val="minor"/>
      </rPr>
      <t xml:space="preserve"> dynam. bariéry 0,1 t) + ((pol. č. 32 + 49) x prům. obj. hmot. bet. 2,3 t/m³); zaokr. na 0,01 t</t>
    </r>
  </si>
  <si>
    <t>Vnitrostaveništní manipulace a přesuny ocelových sítí, kotevních prvků, ocelových lan.</t>
  </si>
  <si>
    <t>((Pol. č. 13 + 14 + 45) x prům. obj. hmot. 2 t/m³) + ((pol. č. 15 + 31 + 46) x prům. obj. hmot. 1,9 t/m³); zaokr. na 0,01 t</t>
  </si>
  <si>
    <t>Naložení a vodorovná doprava vyzískaného materiálu stavebním kolečkem na vzdálenost 50 m.</t>
  </si>
  <si>
    <t>Pol. č. 63</t>
  </si>
  <si>
    <t>Znovunaložení vyzískaného materiálu v místě dočasné mezideponie na kolová vozidla.</t>
  </si>
  <si>
    <t>Pol. č. 64</t>
  </si>
  <si>
    <t>Vodorovná doprava vyzískaného materiálu kolovými vozidly na vzdálenost 1 km.</t>
  </si>
  <si>
    <t>Příplatek za dalších 5 km vzdálenosti: Pol. č. 65 x 5 km; zaokr. na 0,01 t</t>
  </si>
  <si>
    <t>Předpokládaná celková vzdálenost odvozu materiálu na skládku je 6 km.</t>
  </si>
  <si>
    <t>Pol. č. 65</t>
  </si>
  <si>
    <t>17 05 04: Zemina a kamení, odpady nekontaminované. Zákonný poplatek za skládkovné.</t>
  </si>
  <si>
    <r>
      <t>Pol. č. 12 x prům. pl. hmot. 0,0075 t/m</t>
    </r>
    <r>
      <rPr>
        <vertAlign val="superscript"/>
        <sz val="9"/>
        <rFont val="Calibri"/>
        <family val="2"/>
        <charset val="238"/>
        <scheme val="minor"/>
      </rPr>
      <t>2</t>
    </r>
    <r>
      <rPr>
        <sz val="9"/>
        <rFont val="Calibri"/>
        <family val="2"/>
        <charset val="238"/>
        <scheme val="minor"/>
      </rPr>
      <t>; zaokr. na 0,01 t</t>
    </r>
  </si>
  <si>
    <t>02 01 03: Smýcené stromy a keře, odpady nekontaminované. Zákonný poplatek za skládkovné.</t>
  </si>
  <si>
    <t>Zaměření a vytýčení inženýrsých sítí, projektovaných ploch a linií stavby.</t>
  </si>
  <si>
    <t>Zaměření skutečného stavu.</t>
  </si>
  <si>
    <t>Jednotná dodávka prací, dáno vyhláškou</t>
  </si>
  <si>
    <t>Přesná specifikace materiálů a postupu prací viz vyhl. č. 405/2017 Sb.</t>
  </si>
  <si>
    <t>Dozor geotechnika zhotovitele k provádění prací v rozsahu 45 hodin</t>
  </si>
  <si>
    <t>Kontrola provádění prací a přímá koordinace postupu a reakce na geotechnické podmínky stavby. Zodpovědná osoba splňující kvalifikační předpoklady geotechnického dozoru.</t>
  </si>
  <si>
    <t>Šířka 9 m x délka 10 m</t>
  </si>
  <si>
    <t>Plocha potřebná k zařízení staveniště.</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</si>
</sst>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 _-#,##0.00&quot; Kč&quot;;* \-#,##0.00&quot; Kč&quot;;* _-\-??&quot; Kč&quot;;@"/>
    <numFmt numFmtId="165" formatCode="#,##0&quot; Kč&quot;"/>
    <numFmt numFmtId="166" formatCode="#"/>
    <numFmt numFmtId="167" formatCode="_-* #,##0\ [$Kč-405]_-;\-* #,##0\ [$Kč-405]_-;_-* \-??\ [$Kč-405]_-;_-@_-"/>
    <numFmt numFmtId="168" formatCode="_-* #,##0.0&quot; Kč&quot;_-;\-* #,##0.0&quot; Kč&quot;_-;_-* &quot;- Kč&quot;_-;_-@_-"/>
    <numFmt numFmtId="169" formatCode="#,##0\ &quot;Kč&quot;"/>
    <numFmt numFmtId="170" formatCode="#,##0.0"/>
  </numFmts>
  <fonts count="27" x14ac:knownFonts="1">
    <font>
      <sz val="10"/>
      <name val="Arial"/>
      <family val="2"/>
      <charset val="238"/>
    </font>
    <font>
      <sz val="8"/>
      <name val="Arial"/>
      <family val="2"/>
      <charset val="238"/>
    </font>
    <font>
      <sz val="12"/>
      <name val="Arial"/>
      <family val="2"/>
      <charset val="238"/>
    </font>
    <font>
      <sz val="10"/>
      <name val="Arial"/>
      <family val="2"/>
      <charset val="238"/>
    </font>
    <font>
      <sz val="8"/>
      <name val="Calibri"/>
      <family val="2"/>
      <charset val="238"/>
    </font>
    <font>
      <b/>
      <sz val="8"/>
      <name val="Calibri"/>
      <family val="2"/>
      <charset val="238"/>
    </font>
    <font>
      <sz val="9"/>
      <name val="Calibri"/>
      <family val="2"/>
      <charset val="238"/>
    </font>
    <font>
      <b/>
      <sz val="9"/>
      <name val="Calibri"/>
      <family val="2"/>
      <charset val="238"/>
    </font>
    <font>
      <b/>
      <i/>
      <sz val="9"/>
      <name val="Calibri"/>
      <family val="2"/>
      <charset val="238"/>
    </font>
    <font>
      <b/>
      <i/>
      <sz val="8"/>
      <name val="Calibri"/>
      <family val="2"/>
      <charset val="238"/>
    </font>
    <font>
      <i/>
      <sz val="8"/>
      <name val="Calibri"/>
      <family val="2"/>
      <charset val="238"/>
    </font>
    <font>
      <i/>
      <sz val="10"/>
      <name val="Calibri"/>
      <family val="2"/>
      <charset val="238"/>
    </font>
    <font>
      <b/>
      <i/>
      <sz val="10"/>
      <name val="Calibri"/>
      <family val="2"/>
      <charset val="238"/>
    </font>
    <font>
      <b/>
      <sz val="10"/>
      <name val="Arial"/>
      <family val="2"/>
      <charset val="238"/>
    </font>
    <font>
      <sz val="9"/>
      <name val="Calibri"/>
      <family val="2"/>
      <charset val="238"/>
      <scheme val="minor"/>
    </font>
    <font>
      <b/>
      <sz val="20"/>
      <color theme="0"/>
      <name val="Calibri"/>
      <family val="2"/>
      <charset val="238"/>
    </font>
    <font>
      <sz val="10"/>
      <name val="Calibri"/>
      <family val="2"/>
      <charset val="238"/>
    </font>
    <font>
      <b/>
      <sz val="10"/>
      <name val="Calibri"/>
      <family val="2"/>
      <charset val="238"/>
    </font>
    <font>
      <b/>
      <sz val="10"/>
      <name val="Calibri"/>
      <family val="2"/>
      <charset val="238"/>
      <scheme val="minor"/>
    </font>
    <font>
      <vertAlign val="superscript"/>
      <sz val="9"/>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sz val="9"/>
      <color theme="0"/>
      <name val="Calibri"/>
      <family val="2"/>
      <charset val="238"/>
      <scheme val="minor"/>
    </font>
    <font>
      <b/>
      <sz val="14"/>
      <color theme="0"/>
      <name val="Calibri"/>
      <family val="2"/>
      <charset val="238"/>
      <scheme val="minor"/>
    </font>
    <font>
      <b/>
      <sz val="14"/>
      <color theme="0"/>
      <name val="Calibri"/>
      <family val="2"/>
      <charset val="238"/>
    </font>
    <font>
      <vertAlign val="superscript"/>
      <sz val="9"/>
      <name val="Calibri"/>
      <family val="2"/>
      <charset val="23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rgb="FFFFFFFF"/>
      </patternFill>
    </fill>
    <fill>
      <patternFill patternType="solid">
        <fgColor theme="0" tint="-0.14999847407452621"/>
        <bgColor indexed="31"/>
      </patternFill>
    </fill>
    <fill>
      <patternFill patternType="solid">
        <fgColor rgb="FF00B050"/>
        <bgColor indexed="64"/>
      </patternFill>
    </fill>
    <fill>
      <patternFill patternType="solid">
        <fgColor indexed="9"/>
        <bgColor indexed="26"/>
      </patternFill>
    </fill>
    <fill>
      <patternFill patternType="solid">
        <fgColor theme="0"/>
        <bgColor indexed="26"/>
      </patternFill>
    </fill>
    <fill>
      <patternFill patternType="solid">
        <fgColor theme="0" tint="0.59999389629810485"/>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thin">
        <color auto="1"/>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bottom/>
      <diagonal/>
    </border>
    <border>
      <left/>
      <right style="thin">
        <color auto="1"/>
      </right>
      <top/>
      <bottom style="thin">
        <color auto="1"/>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s>
  <cellStyleXfs count="7">
    <xf numFmtId="0" fontId="0" fillId="0" borderId="0"/>
    <xf numFmtId="164" fontId="3" fillId="0" borderId="0"/>
    <xf numFmtId="0" fontId="3" fillId="0" borderId="0"/>
    <xf numFmtId="0" fontId="3" fillId="0" borderId="0"/>
    <xf numFmtId="0" fontId="3" fillId="0" borderId="0"/>
    <xf numFmtId="0" fontId="3" fillId="0" borderId="0">
      <alignment vertical="center"/>
    </xf>
    <xf numFmtId="0" fontId="14" fillId="0" borderId="0">
      <alignment horizontal="left" vertical="center" wrapText="1"/>
    </xf>
  </cellStyleXfs>
  <cellXfs count="257">
    <xf numFmtId="0" fontId="0" fillId="0" borderId="0" xfId="0"/>
    <xf numFmtId="0" fontId="1" fillId="0" borderId="0" xfId="2" applyFont="1"/>
    <xf numFmtId="0" fontId="2" fillId="0" borderId="0" xfId="2" applyFont="1"/>
    <xf numFmtId="0" fontId="3" fillId="0" borderId="0" xfId="2"/>
    <xf numFmtId="0" fontId="1" fillId="0" borderId="0" xfId="2" applyFont="1"/>
    <xf numFmtId="0" fontId="4" fillId="0" borderId="0" xfId="2" applyFont="1"/>
    <xf numFmtId="0" fontId="6" fillId="0" borderId="0" xfId="2" applyFont="1" applyFill="1" applyBorder="1" applyAlignment="1">
      <alignment vertical="center"/>
    </xf>
    <xf numFmtId="0" fontId="4" fillId="0" borderId="0" xfId="2" applyFont="1" applyFill="1" applyBorder="1"/>
    <xf numFmtId="0" fontId="5" fillId="0" borderId="0" xfId="2" applyFont="1" applyFill="1" applyBorder="1" applyAlignment="1">
      <alignment vertical="center"/>
    </xf>
    <xf numFmtId="0" fontId="7" fillId="0" borderId="0" xfId="2" applyFont="1" applyFill="1" applyBorder="1" applyAlignment="1">
      <alignment vertical="center"/>
    </xf>
    <xf numFmtId="0" fontId="9"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5" fillId="0" borderId="0" xfId="2" applyFont="1" applyFill="1" applyBorder="1"/>
    <xf numFmtId="0" fontId="4" fillId="0" borderId="0" xfId="2" applyFont="1" applyFill="1" applyBorder="1" applyAlignment="1"/>
    <xf numFmtId="0" fontId="13" fillId="0" borderId="0" xfId="2" applyFont="1"/>
    <xf numFmtId="0" fontId="12" fillId="2" borderId="1" xfId="2" applyFont="1" applyFill="1" applyBorder="1" applyAlignment="1">
      <alignment vertical="center"/>
    </xf>
    <xf numFmtId="169" fontId="1" fillId="0" borderId="0" xfId="2" applyNumberFormat="1" applyFont="1"/>
    <xf numFmtId="0" fontId="12" fillId="2" borderId="3" xfId="2" applyFont="1" applyFill="1" applyBorder="1" applyAlignment="1">
      <alignment horizontal="right" vertical="center"/>
    </xf>
    <xf numFmtId="0" fontId="12" fillId="2" borderId="12" xfId="2" applyFont="1" applyFill="1" applyBorder="1" applyAlignment="1">
      <alignment horizontal="right" vertical="center"/>
    </xf>
    <xf numFmtId="14" fontId="16" fillId="2" borderId="0" xfId="2" applyNumberFormat="1" applyFont="1" applyFill="1" applyBorder="1" applyAlignment="1">
      <alignment horizontal="left" vertical="center"/>
    </xf>
    <xf numFmtId="0" fontId="17" fillId="2" borderId="0" xfId="2" applyFont="1" applyFill="1" applyBorder="1" applyAlignment="1">
      <alignment vertical="center"/>
    </xf>
    <xf numFmtId="0" fontId="16" fillId="2" borderId="9" xfId="2" applyFont="1" applyFill="1" applyBorder="1" applyAlignment="1">
      <alignment vertical="center"/>
    </xf>
    <xf numFmtId="0" fontId="16" fillId="2" borderId="6" xfId="2" applyFont="1" applyFill="1" applyBorder="1" applyAlignment="1">
      <alignment vertical="center"/>
    </xf>
    <xf numFmtId="0" fontId="16" fillId="2" borderId="7" xfId="2" applyFont="1" applyFill="1" applyBorder="1" applyAlignment="1">
      <alignment vertical="center"/>
    </xf>
    <xf numFmtId="0" fontId="16" fillId="2" borderId="8" xfId="2" applyFont="1" applyFill="1" applyBorder="1" applyAlignment="1">
      <alignment vertical="center"/>
    </xf>
    <xf numFmtId="0" fontId="16" fillId="2" borderId="12" xfId="2" applyFont="1" applyFill="1" applyBorder="1" applyAlignment="1">
      <alignment horizontal="left" vertical="center" wrapText="1"/>
    </xf>
    <xf numFmtId="169" fontId="16" fillId="2" borderId="9" xfId="2" applyNumberFormat="1" applyFont="1" applyFill="1" applyBorder="1" applyAlignment="1">
      <alignment vertical="center"/>
    </xf>
    <xf numFmtId="0" fontId="16" fillId="2" borderId="12" xfId="2" applyFont="1" applyFill="1" applyBorder="1" applyAlignment="1">
      <alignment vertical="center" wrapText="1"/>
    </xf>
    <xf numFmtId="0" fontId="16" fillId="2" borderId="5" xfId="2" applyFont="1" applyFill="1" applyBorder="1" applyAlignment="1">
      <alignment vertical="center"/>
    </xf>
    <xf numFmtId="0" fontId="17" fillId="2" borderId="5" xfId="2" applyFont="1" applyFill="1" applyBorder="1" applyAlignment="1">
      <alignment vertical="center"/>
    </xf>
    <xf numFmtId="14" fontId="16" fillId="2" borderId="9" xfId="2" applyNumberFormat="1" applyFont="1" applyFill="1" applyBorder="1" applyAlignment="1">
      <alignment horizontal="left" vertical="center"/>
    </xf>
    <xf numFmtId="0" fontId="12" fillId="2" borderId="3" xfId="2" applyFont="1" applyFill="1" applyBorder="1" applyAlignment="1">
      <alignment vertical="center"/>
    </xf>
    <xf numFmtId="0" fontId="11" fillId="2" borderId="12" xfId="2" applyFont="1" applyFill="1" applyBorder="1" applyAlignment="1">
      <alignment vertical="center"/>
    </xf>
    <xf numFmtId="0" fontId="11" fillId="2" borderId="6" xfId="2" applyFont="1" applyFill="1" applyBorder="1" applyAlignment="1">
      <alignment vertical="center"/>
    </xf>
    <xf numFmtId="0" fontId="16" fillId="2" borderId="3" xfId="2" applyFont="1" applyFill="1" applyBorder="1" applyAlignment="1">
      <alignment vertical="center"/>
    </xf>
    <xf numFmtId="0" fontId="12" fillId="2" borderId="17" xfId="2" applyFont="1" applyFill="1" applyBorder="1" applyAlignment="1">
      <alignment vertical="center"/>
    </xf>
    <xf numFmtId="165" fontId="17" fillId="2" borderId="18" xfId="2" applyNumberFormat="1" applyFont="1" applyFill="1" applyBorder="1" applyAlignment="1">
      <alignment horizontal="right" vertical="center"/>
    </xf>
    <xf numFmtId="0" fontId="12" fillId="2" borderId="13" xfId="2" applyFont="1" applyFill="1" applyBorder="1" applyAlignment="1">
      <alignment vertical="center"/>
    </xf>
    <xf numFmtId="165" fontId="17" fillId="2" borderId="14" xfId="2" applyNumberFormat="1" applyFont="1" applyFill="1" applyBorder="1" applyAlignment="1">
      <alignment horizontal="right" vertical="center"/>
    </xf>
    <xf numFmtId="0" fontId="16" fillId="2" borderId="6" xfId="2" applyFont="1" applyFill="1" applyBorder="1"/>
    <xf numFmtId="0" fontId="16" fillId="2" borderId="8" xfId="2" applyFont="1" applyFill="1" applyBorder="1"/>
    <xf numFmtId="0" fontId="16" fillId="2" borderId="9" xfId="2" applyFont="1" applyFill="1" applyBorder="1"/>
    <xf numFmtId="169" fontId="16" fillId="2" borderId="0" xfId="2" applyNumberFormat="1" applyFont="1" applyFill="1" applyBorder="1" applyAlignment="1">
      <alignment vertical="center"/>
    </xf>
    <xf numFmtId="169" fontId="17" fillId="2" borderId="10" xfId="2" applyNumberFormat="1" applyFont="1" applyFill="1" applyBorder="1" applyAlignment="1">
      <alignment vertical="center"/>
    </xf>
    <xf numFmtId="166" fontId="14" fillId="0" borderId="19" xfId="2" applyNumberFormat="1" applyFont="1" applyFill="1" applyBorder="1" applyAlignment="1" applyProtection="1">
      <alignment vertical="center" wrapText="1"/>
    </xf>
    <xf numFmtId="0" fontId="14" fillId="0" borderId="19" xfId="2" applyNumberFormat="1" applyFont="1" applyFill="1" applyBorder="1" applyAlignment="1" applyProtection="1">
      <alignment horizontal="center" vertical="center" wrapText="1"/>
    </xf>
    <xf numFmtId="166" fontId="14" fillId="0" borderId="25" xfId="2" applyNumberFormat="1" applyFont="1" applyFill="1" applyBorder="1" applyAlignment="1" applyProtection="1">
      <alignment vertical="center" wrapText="1"/>
    </xf>
    <xf numFmtId="0" fontId="14" fillId="0" borderId="25" xfId="2" applyNumberFormat="1" applyFont="1" applyFill="1" applyBorder="1" applyAlignment="1" applyProtection="1">
      <alignment horizontal="center" vertical="center" wrapText="1"/>
    </xf>
    <xf numFmtId="0" fontId="14" fillId="0" borderId="24" xfId="2" applyFont="1" applyFill="1" applyBorder="1" applyAlignment="1">
      <alignment horizontal="center" vertical="center" wrapText="1"/>
    </xf>
    <xf numFmtId="0" fontId="14" fillId="0" borderId="19" xfId="2" applyFont="1" applyFill="1" applyBorder="1" applyAlignment="1">
      <alignment horizontal="center" vertical="center"/>
    </xf>
    <xf numFmtId="168" fontId="14" fillId="0" borderId="19" xfId="2" applyNumberFormat="1" applyFont="1" applyFill="1" applyBorder="1" applyAlignment="1" applyProtection="1">
      <alignment vertical="center" wrapText="1"/>
    </xf>
    <xf numFmtId="168" fontId="14" fillId="0" borderId="19" xfId="2" applyNumberFormat="1" applyFont="1" applyFill="1" applyBorder="1" applyAlignment="1" applyProtection="1">
      <alignment vertical="top" wrapText="1"/>
    </xf>
    <xf numFmtId="166" fontId="14" fillId="0" borderId="20" xfId="2" applyNumberFormat="1" applyFont="1" applyFill="1" applyBorder="1" applyAlignment="1" applyProtection="1">
      <alignment vertical="center" wrapText="1"/>
    </xf>
    <xf numFmtId="168" fontId="14" fillId="0" borderId="25" xfId="2" applyNumberFormat="1" applyFont="1" applyFill="1" applyBorder="1" applyAlignment="1" applyProtection="1">
      <alignment vertical="top" wrapText="1"/>
    </xf>
    <xf numFmtId="168" fontId="14" fillId="0" borderId="20" xfId="2" applyNumberFormat="1" applyFont="1" applyFill="1" applyBorder="1" applyAlignment="1" applyProtection="1">
      <alignment vertical="center" wrapText="1"/>
    </xf>
    <xf numFmtId="0" fontId="14" fillId="0" borderId="19" xfId="2" applyFont="1" applyFill="1" applyBorder="1" applyAlignment="1">
      <alignment vertical="center" wrapText="1"/>
    </xf>
    <xf numFmtId="166" fontId="14" fillId="0" borderId="29" xfId="2" applyNumberFormat="1" applyFont="1" applyFill="1" applyBorder="1" applyAlignment="1" applyProtection="1">
      <alignment vertical="center" wrapText="1"/>
    </xf>
    <xf numFmtId="0" fontId="14" fillId="0" borderId="29" xfId="2" applyNumberFormat="1" applyFont="1" applyFill="1" applyBorder="1" applyAlignment="1" applyProtection="1">
      <alignment horizontal="center" vertical="center" wrapText="1"/>
    </xf>
    <xf numFmtId="0" fontId="14" fillId="0" borderId="30" xfId="2" applyFont="1" applyFill="1" applyBorder="1" applyAlignment="1">
      <alignment horizontal="center" vertical="center" wrapText="1"/>
    </xf>
    <xf numFmtId="168" fontId="14" fillId="2" borderId="19" xfId="2" applyNumberFormat="1" applyFont="1" applyFill="1" applyBorder="1" applyAlignment="1" applyProtection="1">
      <alignment vertical="center" wrapText="1"/>
    </xf>
    <xf numFmtId="0" fontId="14" fillId="0" borderId="27" xfId="2" applyFont="1" applyFill="1" applyBorder="1" applyAlignment="1">
      <alignment horizontal="center" vertical="center" wrapText="1"/>
    </xf>
    <xf numFmtId="0" fontId="14" fillId="0" borderId="0" xfId="2" applyFont="1" applyAlignment="1">
      <alignment horizontal="center"/>
    </xf>
    <xf numFmtId="0" fontId="14" fillId="0" borderId="0" xfId="2" applyFont="1"/>
    <xf numFmtId="2" fontId="14" fillId="0" borderId="0" xfId="2" applyNumberFormat="1" applyFont="1"/>
    <xf numFmtId="0" fontId="14" fillId="0" borderId="30" xfId="4" applyFont="1" applyFill="1" applyBorder="1" applyAlignment="1">
      <alignment horizontal="center" vertical="center"/>
    </xf>
    <xf numFmtId="0" fontId="14" fillId="0" borderId="27" xfId="4" applyFont="1" applyFill="1" applyBorder="1" applyAlignment="1">
      <alignment horizontal="center" vertical="center"/>
    </xf>
    <xf numFmtId="0" fontId="21" fillId="0" borderId="21" xfId="2" applyNumberFormat="1" applyFont="1" applyFill="1" applyBorder="1" applyAlignment="1" applyProtection="1">
      <alignment horizontal="center" vertical="center" wrapText="1"/>
    </xf>
    <xf numFmtId="0" fontId="21" fillId="0" borderId="22" xfId="2" applyNumberFormat="1" applyFont="1" applyFill="1" applyBorder="1" applyAlignment="1" applyProtection="1">
      <alignment horizontal="center" vertical="center" wrapText="1"/>
    </xf>
    <xf numFmtId="2" fontId="21" fillId="0" borderId="22" xfId="2" applyNumberFormat="1" applyFont="1" applyFill="1" applyBorder="1" applyAlignment="1" applyProtection="1">
      <alignment horizontal="center" vertical="center" wrapText="1"/>
    </xf>
    <xf numFmtId="2" fontId="21" fillId="0" borderId="23" xfId="2" applyNumberFormat="1" applyFont="1" applyFill="1" applyBorder="1" applyAlignment="1" applyProtection="1">
      <alignment horizontal="center" vertical="center" wrapText="1"/>
    </xf>
    <xf numFmtId="0" fontId="14" fillId="0" borderId="0" xfId="2" applyFont="1" applyFill="1"/>
    <xf numFmtId="0" fontId="14" fillId="4" borderId="19" xfId="0" applyFont="1" applyFill="1" applyBorder="1" applyAlignment="1">
      <alignment horizontal="center" vertical="center"/>
    </xf>
    <xf numFmtId="0" fontId="14" fillId="4" borderId="19" xfId="0" applyFont="1" applyFill="1" applyBorder="1" applyAlignment="1">
      <alignment vertical="center"/>
    </xf>
    <xf numFmtId="168" fontId="14" fillId="4" borderId="19" xfId="0" applyNumberFormat="1" applyFont="1" applyFill="1" applyBorder="1" applyAlignment="1" applyProtection="1">
      <alignment vertical="center" wrapText="1"/>
    </xf>
    <xf numFmtId="170" fontId="14" fillId="0" borderId="19" xfId="2" applyNumberFormat="1" applyFont="1" applyFill="1" applyBorder="1" applyAlignment="1" applyProtection="1">
      <alignment vertical="center" wrapText="1"/>
    </xf>
    <xf numFmtId="170" fontId="14" fillId="0" borderId="20" xfId="2" applyNumberFormat="1" applyFont="1" applyFill="1" applyBorder="1" applyAlignment="1" applyProtection="1">
      <alignment vertical="center" wrapText="1"/>
    </xf>
    <xf numFmtId="170" fontId="14" fillId="0" borderId="20" xfId="4" applyNumberFormat="1" applyFont="1" applyFill="1" applyBorder="1" applyAlignment="1" applyProtection="1">
      <alignment vertical="center" wrapText="1"/>
    </xf>
    <xf numFmtId="170" fontId="14" fillId="0" borderId="25" xfId="4" applyNumberFormat="1" applyFont="1" applyFill="1" applyBorder="1" applyAlignment="1" applyProtection="1">
      <alignment vertical="center" wrapText="1"/>
    </xf>
    <xf numFmtId="170" fontId="14" fillId="0" borderId="29" xfId="4" applyNumberFormat="1" applyFont="1" applyFill="1" applyBorder="1" applyAlignment="1" applyProtection="1">
      <alignment vertical="center" wrapText="1"/>
    </xf>
    <xf numFmtId="0" fontId="14" fillId="2" borderId="19" xfId="2" applyFont="1" applyFill="1" applyBorder="1" applyAlignment="1">
      <alignment horizontal="left" vertical="center" wrapText="1"/>
    </xf>
    <xf numFmtId="2" fontId="18" fillId="3" borderId="1" xfId="2" applyNumberFormat="1" applyFont="1" applyFill="1" applyBorder="1" applyAlignment="1" applyProtection="1">
      <alignment vertical="center" wrapText="1"/>
    </xf>
    <xf numFmtId="166" fontId="18" fillId="3" borderId="2" xfId="2" applyNumberFormat="1" applyFont="1" applyFill="1" applyBorder="1" applyAlignment="1" applyProtection="1">
      <alignment horizontal="center" vertical="center" wrapText="1"/>
    </xf>
    <xf numFmtId="166" fontId="18" fillId="5" borderId="2" xfId="2" applyNumberFormat="1" applyFont="1" applyFill="1" applyBorder="1" applyAlignment="1" applyProtection="1">
      <alignment vertical="center" wrapText="1"/>
    </xf>
    <xf numFmtId="166" fontId="18" fillId="5" borderId="2" xfId="2" applyNumberFormat="1" applyFont="1" applyFill="1" applyBorder="1" applyAlignment="1" applyProtection="1">
      <alignment horizontal="center" vertical="center" wrapText="1"/>
    </xf>
    <xf numFmtId="167" fontId="18" fillId="5" borderId="2" xfId="2" applyNumberFormat="1" applyFont="1" applyFill="1" applyBorder="1" applyAlignment="1" applyProtection="1">
      <alignment vertical="center" wrapText="1"/>
    </xf>
    <xf numFmtId="166" fontId="18" fillId="3" borderId="2" xfId="2" applyNumberFormat="1" applyFont="1" applyFill="1" applyBorder="1" applyAlignment="1" applyProtection="1">
      <alignment vertical="center" wrapText="1"/>
    </xf>
    <xf numFmtId="167" fontId="18" fillId="3" borderId="2" xfId="2" applyNumberFormat="1" applyFont="1" applyFill="1" applyBorder="1" applyAlignment="1" applyProtection="1">
      <alignment vertical="center" wrapText="1"/>
    </xf>
    <xf numFmtId="166" fontId="18" fillId="3" borderId="1" xfId="2" applyNumberFormat="1" applyFont="1" applyFill="1" applyBorder="1" applyAlignment="1" applyProtection="1">
      <alignment horizontal="center" vertical="center" wrapText="1"/>
    </xf>
    <xf numFmtId="2" fontId="20" fillId="3" borderId="2" xfId="2" applyNumberFormat="1" applyFont="1" applyFill="1" applyBorder="1"/>
    <xf numFmtId="0" fontId="20" fillId="2" borderId="7" xfId="2" applyFont="1" applyFill="1" applyBorder="1" applyAlignment="1">
      <alignment horizontal="left" vertical="center" wrapText="1"/>
    </xf>
    <xf numFmtId="0" fontId="15" fillId="6" borderId="3" xfId="2" applyFont="1" applyFill="1" applyBorder="1" applyAlignment="1">
      <alignment vertical="center"/>
    </xf>
    <xf numFmtId="0" fontId="25" fillId="6" borderId="1" xfId="2" applyFont="1" applyFill="1" applyBorder="1" applyAlignment="1">
      <alignment vertical="center"/>
    </xf>
    <xf numFmtId="0" fontId="25" fillId="6" borderId="2" xfId="2" applyFont="1" applyFill="1" applyBorder="1" applyAlignment="1">
      <alignment vertical="center"/>
    </xf>
    <xf numFmtId="0" fontId="25" fillId="6" borderId="10" xfId="2" applyFont="1" applyFill="1" applyBorder="1" applyAlignment="1">
      <alignment vertical="center"/>
    </xf>
    <xf numFmtId="165" fontId="25" fillId="6" borderId="2" xfId="2" applyNumberFormat="1" applyFont="1" applyFill="1" applyBorder="1" applyAlignment="1">
      <alignment horizontal="right" vertical="center"/>
    </xf>
    <xf numFmtId="0" fontId="14" fillId="0" borderId="33" xfId="2" applyFont="1" applyFill="1" applyBorder="1" applyAlignment="1">
      <alignment horizontal="center" vertical="center" wrapText="1"/>
    </xf>
    <xf numFmtId="0" fontId="22" fillId="2" borderId="12" xfId="2" applyFont="1" applyFill="1" applyBorder="1" applyAlignment="1">
      <alignment horizontal="right" vertical="center"/>
    </xf>
    <xf numFmtId="0" fontId="22" fillId="2" borderId="0" xfId="2" applyFont="1" applyFill="1" applyBorder="1" applyAlignment="1">
      <alignment horizontal="right" vertical="center"/>
    </xf>
    <xf numFmtId="0" fontId="20" fillId="2" borderId="0" xfId="2" applyFont="1" applyFill="1" applyBorder="1" applyAlignment="1">
      <alignment horizontal="left" vertical="center" wrapText="1"/>
    </xf>
    <xf numFmtId="0" fontId="14" fillId="0" borderId="19" xfId="2" applyFont="1" applyBorder="1" applyAlignment="1">
      <alignment vertical="center" wrapText="1"/>
    </xf>
    <xf numFmtId="0" fontId="14" fillId="0" borderId="19" xfId="5" applyNumberFormat="1" applyFont="1" applyFill="1" applyBorder="1" applyAlignment="1" applyProtection="1">
      <alignment vertical="center" wrapText="1"/>
      <protection locked="0"/>
    </xf>
    <xf numFmtId="0" fontId="14" fillId="0" borderId="19" xfId="0" applyFont="1" applyFill="1" applyBorder="1" applyAlignment="1" applyProtection="1">
      <alignment horizontal="center" vertical="center"/>
      <protection locked="0"/>
    </xf>
    <xf numFmtId="168" fontId="14" fillId="0" borderId="25" xfId="2" applyNumberFormat="1" applyFont="1" applyFill="1" applyBorder="1" applyAlignment="1" applyProtection="1">
      <alignment vertical="center" wrapText="1"/>
    </xf>
    <xf numFmtId="168" fontId="14" fillId="0" borderId="29" xfId="2" applyNumberFormat="1" applyFont="1" applyFill="1" applyBorder="1" applyAlignment="1" applyProtection="1">
      <alignment vertical="center" wrapText="1"/>
    </xf>
    <xf numFmtId="0" fontId="14" fillId="0" borderId="19" xfId="2" applyFont="1" applyBorder="1" applyAlignment="1">
      <alignment horizontal="center" vertical="center" wrapText="1"/>
    </xf>
    <xf numFmtId="0" fontId="14" fillId="0" borderId="19" xfId="2" applyFont="1" applyBorder="1" applyAlignment="1">
      <alignment horizontal="left" vertical="center" wrapText="1"/>
    </xf>
    <xf numFmtId="0" fontId="14" fillId="0" borderId="19" xfId="2" applyFont="1" applyBorder="1" applyAlignment="1">
      <alignment horizontal="center" vertical="center"/>
    </xf>
    <xf numFmtId="168" fontId="14" fillId="2" borderId="19" xfId="2" applyNumberFormat="1" applyFont="1" applyFill="1" applyBorder="1" applyAlignment="1">
      <alignment vertical="center" wrapText="1"/>
    </xf>
    <xf numFmtId="168" fontId="14" fillId="0" borderId="19" xfId="2" applyNumberFormat="1" applyFont="1" applyBorder="1" applyAlignment="1">
      <alignment vertical="center" wrapText="1"/>
    </xf>
    <xf numFmtId="0" fontId="14" fillId="0" borderId="34" xfId="4" applyFont="1" applyFill="1" applyBorder="1" applyAlignment="1">
      <alignment horizontal="center" vertical="center"/>
    </xf>
    <xf numFmtId="49" fontId="14" fillId="0" borderId="25" xfId="2" applyNumberFormat="1" applyFont="1" applyFill="1" applyBorder="1" applyAlignment="1">
      <alignment horizontal="center" vertical="center" wrapText="1"/>
    </xf>
    <xf numFmtId="49" fontId="14" fillId="0" borderId="19" xfId="2" applyNumberFormat="1" applyFont="1" applyFill="1" applyBorder="1" applyAlignment="1">
      <alignment horizontal="center" vertical="center" wrapText="1"/>
    </xf>
    <xf numFmtId="49" fontId="14" fillId="4" borderId="19" xfId="0" applyNumberFormat="1" applyFont="1" applyFill="1" applyBorder="1" applyAlignment="1">
      <alignment horizontal="center" vertical="center"/>
    </xf>
    <xf numFmtId="49" fontId="14" fillId="0" borderId="29" xfId="2" applyNumberFormat="1" applyFont="1" applyFill="1" applyBorder="1" applyAlignment="1">
      <alignment horizontal="center" vertical="center" wrapText="1"/>
    </xf>
    <xf numFmtId="0" fontId="14" fillId="0" borderId="28" xfId="2" applyFont="1" applyBorder="1" applyAlignment="1">
      <alignment horizontal="center" vertical="center" wrapText="1"/>
    </xf>
    <xf numFmtId="168" fontId="14" fillId="0" borderId="25" xfId="2" applyNumberFormat="1" applyFont="1" applyBorder="1" applyAlignment="1">
      <alignment vertical="center" wrapText="1"/>
    </xf>
    <xf numFmtId="0" fontId="14" fillId="0" borderId="20" xfId="2" applyFont="1" applyBorder="1" applyAlignment="1">
      <alignment horizontal="center" vertical="center" wrapText="1"/>
    </xf>
    <xf numFmtId="0" fontId="14" fillId="0" borderId="20" xfId="2" applyFont="1" applyBorder="1" applyAlignment="1">
      <alignment horizontal="left" vertical="center" wrapText="1"/>
    </xf>
    <xf numFmtId="0" fontId="14" fillId="0" borderId="20" xfId="2" applyFont="1" applyBorder="1" applyAlignment="1">
      <alignment horizontal="center" vertical="center"/>
    </xf>
    <xf numFmtId="170" fontId="14" fillId="0" borderId="20" xfId="2" applyNumberFormat="1" applyFont="1" applyBorder="1" applyAlignment="1">
      <alignment vertical="center" wrapText="1"/>
    </xf>
    <xf numFmtId="168" fontId="14" fillId="0" borderId="20" xfId="2" applyNumberFormat="1" applyFont="1" applyBorder="1" applyAlignment="1">
      <alignment vertical="center" wrapText="1"/>
    </xf>
    <xf numFmtId="0" fontId="14" fillId="0" borderId="19" xfId="0" applyFont="1" applyBorder="1" applyAlignment="1" applyProtection="1">
      <alignment horizontal="center" vertical="center"/>
      <protection locked="0"/>
    </xf>
    <xf numFmtId="0" fontId="14" fillId="0" borderId="19" xfId="5" applyFont="1" applyBorder="1" applyAlignment="1" applyProtection="1">
      <alignment vertical="center" wrapText="1"/>
      <protection locked="0"/>
    </xf>
    <xf numFmtId="0" fontId="6" fillId="0" borderId="37" xfId="2" applyFont="1" applyBorder="1" applyAlignment="1">
      <alignment horizontal="center" vertical="center"/>
    </xf>
    <xf numFmtId="0" fontId="6" fillId="0" borderId="19" xfId="2" applyFont="1" applyBorder="1" applyAlignment="1">
      <alignment horizontal="left" vertical="center" wrapText="1"/>
    </xf>
    <xf numFmtId="0" fontId="14" fillId="2" borderId="19" xfId="2" applyFont="1" applyFill="1" applyBorder="1" applyAlignment="1">
      <alignment horizontal="center" vertical="center"/>
    </xf>
    <xf numFmtId="170" fontId="14" fillId="0" borderId="19" xfId="2" applyNumberFormat="1" applyFont="1" applyBorder="1" applyAlignment="1">
      <alignment vertical="center" wrapText="1"/>
    </xf>
    <xf numFmtId="0" fontId="14" fillId="0" borderId="20" xfId="2" applyFont="1" applyBorder="1" applyAlignment="1">
      <alignment vertical="center" wrapText="1"/>
    </xf>
    <xf numFmtId="4" fontId="14" fillId="0" borderId="19" xfId="2" applyNumberFormat="1" applyFont="1" applyBorder="1" applyAlignment="1">
      <alignment horizontal="center" vertical="center" wrapText="1"/>
    </xf>
    <xf numFmtId="0" fontId="14" fillId="0" borderId="19" xfId="0" applyFont="1" applyBorder="1" applyAlignment="1">
      <alignment horizontal="center" vertical="center"/>
    </xf>
    <xf numFmtId="170" fontId="14" fillId="0" borderId="20" xfId="4" applyNumberFormat="1" applyFont="1" applyBorder="1" applyAlignment="1">
      <alignment vertical="center" wrapText="1"/>
    </xf>
    <xf numFmtId="0" fontId="14" fillId="0" borderId="19" xfId="2" applyFont="1" applyBorder="1" applyAlignment="1">
      <alignment vertical="center"/>
    </xf>
    <xf numFmtId="0" fontId="14" fillId="0" borderId="19" xfId="4" applyFont="1" applyBorder="1" applyAlignment="1">
      <alignment horizontal="center" vertical="center" wrapText="1"/>
    </xf>
    <xf numFmtId="0" fontId="14" fillId="0" borderId="28" xfId="4" applyFont="1" applyBorder="1" applyAlignment="1">
      <alignment horizontal="center" vertical="center" wrapText="1"/>
    </xf>
    <xf numFmtId="170" fontId="14" fillId="0" borderId="35" xfId="2" applyNumberFormat="1" applyFont="1" applyBorder="1" applyAlignment="1">
      <alignment vertical="center" wrapText="1"/>
    </xf>
    <xf numFmtId="168" fontId="14" fillId="0" borderId="28" xfId="2" applyNumberFormat="1" applyFont="1" applyBorder="1" applyAlignment="1">
      <alignment vertical="center" wrapText="1"/>
    </xf>
    <xf numFmtId="0" fontId="14" fillId="2" borderId="19" xfId="2" applyFont="1" applyFill="1" applyBorder="1" applyAlignment="1">
      <alignment horizontal="center" vertical="center" wrapText="1"/>
    </xf>
    <xf numFmtId="170" fontId="14" fillId="2" borderId="19" xfId="2" applyNumberFormat="1" applyFont="1" applyFill="1" applyBorder="1" applyAlignment="1">
      <alignment vertical="center" wrapText="1"/>
    </xf>
    <xf numFmtId="4" fontId="6" fillId="0" borderId="20" xfId="2" applyNumberFormat="1" applyFont="1" applyBorder="1" applyAlignment="1">
      <alignment horizontal="center" vertical="center" wrapText="1"/>
    </xf>
    <xf numFmtId="0" fontId="14" fillId="0" borderId="25" xfId="2" applyFont="1" applyBorder="1" applyAlignment="1">
      <alignment horizontal="center" vertical="center" wrapText="1"/>
    </xf>
    <xf numFmtId="0" fontId="14" fillId="0" borderId="25" xfId="2" applyFont="1" applyBorder="1" applyAlignment="1">
      <alignment vertical="center" wrapText="1"/>
    </xf>
    <xf numFmtId="0" fontId="14" fillId="0" borderId="25" xfId="2" applyFont="1" applyBorder="1" applyAlignment="1">
      <alignment horizontal="center" vertical="center"/>
    </xf>
    <xf numFmtId="170" fontId="14" fillId="0" borderId="25" xfId="2" applyNumberFormat="1" applyFont="1" applyBorder="1" applyAlignment="1">
      <alignment vertical="center" wrapText="1"/>
    </xf>
    <xf numFmtId="0" fontId="14" fillId="7" borderId="20" xfId="2" applyFont="1" applyFill="1" applyBorder="1" applyAlignment="1">
      <alignment horizontal="center" vertical="center"/>
    </xf>
    <xf numFmtId="4" fontId="14" fillId="7" borderId="28" xfId="2" applyNumberFormat="1" applyFont="1" applyFill="1" applyBorder="1" applyAlignment="1">
      <alignment vertical="center" wrapText="1"/>
    </xf>
    <xf numFmtId="4" fontId="14" fillId="0" borderId="19" xfId="2" applyNumberFormat="1" applyFont="1" applyBorder="1" applyAlignment="1">
      <alignment vertical="center" wrapText="1"/>
    </xf>
    <xf numFmtId="0" fontId="14" fillId="0" borderId="28" xfId="2" applyFont="1" applyBorder="1" applyAlignment="1">
      <alignment horizontal="center" vertical="center"/>
    </xf>
    <xf numFmtId="0" fontId="14" fillId="0" borderId="28" xfId="2" applyFont="1" applyBorder="1" applyAlignment="1">
      <alignment vertical="center" wrapText="1"/>
    </xf>
    <xf numFmtId="4" fontId="14" fillId="0" borderId="28" xfId="2" applyNumberFormat="1" applyFont="1" applyBorder="1" applyAlignment="1">
      <alignment vertical="center" wrapText="1"/>
    </xf>
    <xf numFmtId="0" fontId="14" fillId="0" borderId="38" xfId="4" applyFont="1" applyFill="1" applyBorder="1" applyAlignment="1">
      <alignment horizontal="center" vertical="center"/>
    </xf>
    <xf numFmtId="0" fontId="14" fillId="0" borderId="28" xfId="2" applyFont="1" applyFill="1" applyBorder="1" applyAlignment="1">
      <alignment horizontal="center" vertical="center"/>
    </xf>
    <xf numFmtId="0" fontId="14" fillId="0" borderId="28" xfId="2" applyFont="1" applyFill="1" applyBorder="1" applyAlignment="1">
      <alignment vertical="center" wrapText="1"/>
    </xf>
    <xf numFmtId="170" fontId="14" fillId="0" borderId="28" xfId="2" applyNumberFormat="1" applyFont="1" applyFill="1" applyBorder="1" applyAlignment="1" applyProtection="1">
      <alignment vertical="center" wrapText="1"/>
    </xf>
    <xf numFmtId="168" fontId="14" fillId="0" borderId="28" xfId="2" applyNumberFormat="1" applyFont="1" applyFill="1" applyBorder="1" applyAlignment="1" applyProtection="1">
      <alignment vertical="center" wrapText="1"/>
    </xf>
    <xf numFmtId="0" fontId="14" fillId="0" borderId="24" xfId="4" applyFont="1" applyFill="1" applyBorder="1" applyAlignment="1">
      <alignment horizontal="center" vertical="center"/>
    </xf>
    <xf numFmtId="0" fontId="14" fillId="0" borderId="25" xfId="0" applyFont="1" applyBorder="1" applyAlignment="1" applyProtection="1">
      <alignment horizontal="center" vertical="center"/>
      <protection locked="0"/>
    </xf>
    <xf numFmtId="0" fontId="14" fillId="0" borderId="25" xfId="5" applyFont="1" applyBorder="1" applyAlignment="1" applyProtection="1">
      <alignment vertical="center" wrapText="1"/>
      <protection locked="0"/>
    </xf>
    <xf numFmtId="166" fontId="14" fillId="0" borderId="25" xfId="2" applyNumberFormat="1" applyFont="1" applyBorder="1" applyAlignment="1">
      <alignment horizontal="center" vertical="center" wrapText="1"/>
    </xf>
    <xf numFmtId="168" fontId="14" fillId="2" borderId="25" xfId="2" applyNumberFormat="1" applyFont="1" applyFill="1" applyBorder="1" applyAlignment="1">
      <alignment vertical="center" wrapText="1"/>
    </xf>
    <xf numFmtId="0" fontId="14" fillId="0" borderId="29" xfId="2" applyFont="1" applyFill="1" applyBorder="1" applyAlignment="1">
      <alignment vertical="center" wrapText="1"/>
    </xf>
    <xf numFmtId="170" fontId="14" fillId="0" borderId="29" xfId="2" applyNumberFormat="1" applyFont="1" applyFill="1" applyBorder="1" applyAlignment="1" applyProtection="1">
      <alignment vertical="center" wrapText="1"/>
    </xf>
    <xf numFmtId="2" fontId="18" fillId="3" borderId="3" xfId="2" applyNumberFormat="1" applyFont="1" applyFill="1" applyBorder="1" applyAlignment="1" applyProtection="1">
      <alignment vertical="center" wrapText="1"/>
    </xf>
    <xf numFmtId="166" fontId="18" fillId="3" borderId="4" xfId="2" applyNumberFormat="1" applyFont="1" applyFill="1" applyBorder="1" applyAlignment="1" applyProtection="1">
      <alignment horizontal="center" vertical="center" wrapText="1"/>
    </xf>
    <xf numFmtId="166" fontId="18" fillId="5" borderId="4" xfId="2" applyNumberFormat="1" applyFont="1" applyFill="1" applyBorder="1" applyAlignment="1" applyProtection="1">
      <alignment vertical="center" wrapText="1"/>
    </xf>
    <xf numFmtId="166" fontId="18" fillId="5" borderId="4" xfId="2" applyNumberFormat="1" applyFont="1" applyFill="1" applyBorder="1" applyAlignment="1" applyProtection="1">
      <alignment horizontal="center" vertical="center" wrapText="1"/>
    </xf>
    <xf numFmtId="167" fontId="18" fillId="5" borderId="4" xfId="2" applyNumberFormat="1" applyFont="1" applyFill="1" applyBorder="1" applyAlignment="1" applyProtection="1">
      <alignment vertical="center" wrapText="1"/>
    </xf>
    <xf numFmtId="0" fontId="14" fillId="0" borderId="29" xfId="0" applyFont="1" applyFill="1" applyBorder="1" applyAlignment="1">
      <alignment horizontal="center" vertical="center"/>
    </xf>
    <xf numFmtId="0" fontId="14" fillId="0" borderId="29" xfId="0" applyFont="1" applyFill="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20" xfId="5" applyFont="1" applyBorder="1" applyAlignment="1" applyProtection="1">
      <alignment vertical="center" wrapText="1"/>
      <protection locked="0"/>
    </xf>
    <xf numFmtId="166" fontId="14" fillId="0" borderId="20" xfId="2" applyNumberFormat="1" applyFont="1" applyBorder="1" applyAlignment="1">
      <alignment horizontal="center" vertical="center" wrapText="1"/>
    </xf>
    <xf numFmtId="168" fontId="14" fillId="2" borderId="20" xfId="2" applyNumberFormat="1" applyFont="1" applyFill="1" applyBorder="1" applyAlignment="1">
      <alignment vertical="center" wrapText="1"/>
    </xf>
    <xf numFmtId="168" fontId="14" fillId="0" borderId="39" xfId="2" applyNumberFormat="1" applyFont="1" applyFill="1" applyBorder="1" applyAlignment="1" applyProtection="1">
      <alignment vertical="center" wrapText="1"/>
    </xf>
    <xf numFmtId="2" fontId="18" fillId="3" borderId="21" xfId="2" applyNumberFormat="1" applyFont="1" applyFill="1" applyBorder="1" applyAlignment="1" applyProtection="1">
      <alignment vertical="center" wrapText="1"/>
    </xf>
    <xf numFmtId="166" fontId="18" fillId="3" borderId="22" xfId="2" applyNumberFormat="1" applyFont="1" applyFill="1" applyBorder="1" applyAlignment="1" applyProtection="1">
      <alignment horizontal="center" vertical="center" wrapText="1"/>
    </xf>
    <xf numFmtId="166" fontId="18" fillId="3" borderId="22" xfId="2" applyNumberFormat="1" applyFont="1" applyFill="1" applyBorder="1" applyAlignment="1" applyProtection="1">
      <alignment vertical="center" wrapText="1"/>
    </xf>
    <xf numFmtId="168" fontId="18" fillId="3" borderId="22" xfId="2" applyNumberFormat="1" applyFont="1" applyFill="1" applyBorder="1" applyAlignment="1" applyProtection="1">
      <alignment horizontal="center" vertical="center" wrapText="1"/>
    </xf>
    <xf numFmtId="167" fontId="18" fillId="3" borderId="22" xfId="2" applyNumberFormat="1" applyFont="1" applyFill="1" applyBorder="1" applyAlignment="1" applyProtection="1">
      <alignment vertical="center" wrapText="1"/>
    </xf>
    <xf numFmtId="170" fontId="14" fillId="0" borderId="19" xfId="0" applyNumberFormat="1" applyFont="1" applyBorder="1" applyAlignment="1" applyProtection="1">
      <alignment horizontal="right" vertical="center"/>
      <protection locked="0"/>
    </xf>
    <xf numFmtId="168" fontId="14" fillId="0" borderId="40" xfId="2" applyNumberFormat="1" applyFont="1" applyBorder="1" applyAlignment="1">
      <alignment vertical="center" wrapText="1"/>
    </xf>
    <xf numFmtId="166" fontId="14" fillId="8" borderId="19" xfId="2" applyNumberFormat="1" applyFont="1" applyFill="1" applyBorder="1" applyAlignment="1">
      <alignment vertical="center" wrapText="1"/>
    </xf>
    <xf numFmtId="0" fontId="14" fillId="8" borderId="19" xfId="2" applyFont="1" applyFill="1" applyBorder="1" applyAlignment="1">
      <alignment horizontal="center" vertical="center"/>
    </xf>
    <xf numFmtId="4" fontId="14" fillId="0" borderId="20" xfId="2" applyNumberFormat="1" applyFont="1" applyBorder="1" applyAlignment="1">
      <alignment horizontal="center" vertical="center" wrapText="1"/>
    </xf>
    <xf numFmtId="4" fontId="14" fillId="0" borderId="20" xfId="2" applyNumberFormat="1" applyFont="1" applyBorder="1" applyAlignment="1">
      <alignment vertical="center" wrapText="1"/>
    </xf>
    <xf numFmtId="170" fontId="14" fillId="0" borderId="19" xfId="2" applyNumberFormat="1" applyFont="1" applyFill="1" applyBorder="1" applyAlignment="1">
      <alignment vertical="center" wrapText="1"/>
    </xf>
    <xf numFmtId="170" fontId="14" fillId="0" borderId="20" xfId="2" applyNumberFormat="1" applyFont="1" applyFill="1" applyBorder="1" applyAlignment="1">
      <alignment vertical="center" wrapText="1"/>
    </xf>
    <xf numFmtId="170" fontId="14" fillId="0" borderId="19" xfId="0" applyNumberFormat="1" applyFont="1" applyFill="1" applyBorder="1" applyAlignment="1" applyProtection="1">
      <alignment horizontal="right" vertical="center"/>
      <protection locked="0"/>
    </xf>
    <xf numFmtId="0" fontId="14" fillId="0" borderId="28" xfId="2" applyFont="1" applyFill="1" applyBorder="1" applyAlignment="1">
      <alignment horizontal="left" vertical="center" wrapText="1"/>
    </xf>
    <xf numFmtId="0" fontId="14" fillId="0" borderId="20" xfId="2" applyFont="1" applyFill="1" applyBorder="1" applyAlignment="1">
      <alignment horizontal="center" vertical="center" wrapText="1"/>
    </xf>
    <xf numFmtId="0" fontId="14" fillId="0" borderId="20" xfId="2" applyFont="1" applyFill="1" applyBorder="1" applyAlignment="1">
      <alignment horizontal="left" vertical="center" wrapText="1"/>
    </xf>
    <xf numFmtId="0" fontId="14" fillId="0" borderId="20" xfId="2" applyFont="1" applyFill="1" applyBorder="1" applyAlignment="1">
      <alignment horizontal="center" vertical="center"/>
    </xf>
    <xf numFmtId="168" fontId="14" fillId="0" borderId="20" xfId="2" applyNumberFormat="1" applyFont="1" applyFill="1" applyBorder="1" applyAlignment="1">
      <alignment vertical="center" wrapText="1"/>
    </xf>
    <xf numFmtId="4" fontId="14" fillId="0" borderId="19" xfId="2" applyNumberFormat="1" applyFont="1" applyFill="1" applyBorder="1" applyAlignment="1">
      <alignment vertical="center" wrapText="1"/>
    </xf>
    <xf numFmtId="170" fontId="14" fillId="0" borderId="19" xfId="0" applyNumberFormat="1" applyFont="1" applyFill="1" applyBorder="1" applyAlignment="1" applyProtection="1">
      <alignment vertical="center" wrapText="1"/>
    </xf>
    <xf numFmtId="0" fontId="14" fillId="0" borderId="20" xfId="6" applyBorder="1">
      <alignment horizontal="left" vertical="center" wrapText="1"/>
    </xf>
    <xf numFmtId="0" fontId="14" fillId="0" borderId="36" xfId="6" applyBorder="1">
      <alignment horizontal="left" vertical="center" wrapText="1"/>
    </xf>
    <xf numFmtId="0" fontId="14" fillId="0" borderId="20" xfId="6" applyFill="1" applyBorder="1">
      <alignment horizontal="left" vertical="center" wrapText="1"/>
    </xf>
    <xf numFmtId="0" fontId="14" fillId="0" borderId="37" xfId="6" applyBorder="1">
      <alignment horizontal="left" vertical="center" wrapText="1"/>
    </xf>
    <xf numFmtId="0" fontId="14" fillId="0" borderId="32" xfId="6" applyBorder="1">
      <alignment horizontal="left" vertical="center" wrapText="1"/>
    </xf>
    <xf numFmtId="0" fontId="14" fillId="0" borderId="37" xfId="6" applyFont="1" applyBorder="1">
      <alignment horizontal="left" vertical="center" wrapText="1"/>
    </xf>
    <xf numFmtId="0" fontId="14" fillId="0" borderId="32" xfId="1" applyNumberFormat="1" applyFont="1" applyBorder="1" applyAlignment="1">
      <alignment horizontal="left" vertical="center" wrapText="1"/>
    </xf>
    <xf numFmtId="0" fontId="14" fillId="0" borderId="19" xfId="6" applyBorder="1">
      <alignment horizontal="left" vertical="center" wrapText="1"/>
    </xf>
    <xf numFmtId="0" fontId="14" fillId="0" borderId="41" xfId="6" applyBorder="1">
      <alignment horizontal="left" vertical="center" wrapText="1"/>
    </xf>
    <xf numFmtId="0" fontId="14" fillId="0" borderId="19" xfId="6" applyFont="1" applyBorder="1">
      <alignment horizontal="left" vertical="center" wrapText="1"/>
    </xf>
    <xf numFmtId="0" fontId="14" fillId="0" borderId="32" xfId="6" applyFont="1" applyBorder="1">
      <alignment horizontal="left" vertical="center" wrapText="1"/>
    </xf>
    <xf numFmtId="0" fontId="14" fillId="0" borderId="37" xfId="2" applyFont="1" applyBorder="1" applyAlignment="1">
      <alignment vertical="center" wrapText="1"/>
    </xf>
    <xf numFmtId="0" fontId="14" fillId="0" borderId="36" xfId="6" applyFont="1" applyBorder="1">
      <alignment horizontal="left" vertical="center" wrapText="1"/>
    </xf>
    <xf numFmtId="4" fontId="6" fillId="7" borderId="19" xfId="2" applyNumberFormat="1" applyFont="1" applyFill="1" applyBorder="1" applyAlignment="1">
      <alignment vertical="center" wrapText="1"/>
    </xf>
    <xf numFmtId="0" fontId="14" fillId="0" borderId="36" xfId="1" applyNumberFormat="1" applyFont="1" applyBorder="1" applyAlignment="1">
      <alignment horizontal="left" vertical="center" wrapText="1"/>
    </xf>
    <xf numFmtId="4" fontId="6" fillId="7" borderId="37" xfId="2" applyNumberFormat="1" applyFont="1" applyFill="1" applyBorder="1" applyAlignment="1">
      <alignment vertical="center" wrapText="1"/>
    </xf>
    <xf numFmtId="0" fontId="14" fillId="8" borderId="32" xfId="1" applyNumberFormat="1" applyFont="1" applyFill="1" applyBorder="1" applyAlignment="1">
      <alignment vertical="center" wrapText="1"/>
    </xf>
    <xf numFmtId="0" fontId="14" fillId="0" borderId="25" xfId="6" applyBorder="1">
      <alignment horizontal="left" vertical="center" wrapText="1"/>
    </xf>
    <xf numFmtId="4" fontId="14" fillId="9" borderId="37" xfId="2" applyNumberFormat="1" applyFont="1" applyFill="1" applyBorder="1" applyAlignment="1">
      <alignment vertical="center" wrapText="1"/>
    </xf>
    <xf numFmtId="4" fontId="14" fillId="9" borderId="40" xfId="2" applyNumberFormat="1" applyFont="1" applyFill="1" applyBorder="1" applyAlignment="1">
      <alignment vertical="center" wrapText="1"/>
    </xf>
    <xf numFmtId="0" fontId="14" fillId="0" borderId="26" xfId="6" applyBorder="1">
      <alignment horizontal="left" vertical="center" wrapText="1"/>
    </xf>
    <xf numFmtId="0" fontId="14" fillId="0" borderId="40" xfId="6" applyBorder="1">
      <alignment horizontal="left" vertical="center" wrapText="1"/>
    </xf>
    <xf numFmtId="0" fontId="14" fillId="0" borderId="20" xfId="6" applyFont="1" applyBorder="1">
      <alignment horizontal="left" vertical="center" wrapText="1"/>
    </xf>
    <xf numFmtId="0" fontId="14" fillId="0" borderId="29" xfId="6" applyFont="1" applyBorder="1">
      <alignment horizontal="left" vertical="center" wrapText="1"/>
    </xf>
    <xf numFmtId="0" fontId="14" fillId="0" borderId="31" xfId="6" applyBorder="1">
      <alignment horizontal="left" vertical="center" wrapText="1"/>
    </xf>
    <xf numFmtId="0" fontId="14" fillId="0" borderId="42" xfId="6" applyFont="1" applyBorder="1">
      <alignment horizontal="left" vertical="center" wrapText="1"/>
    </xf>
    <xf numFmtId="0" fontId="14" fillId="0" borderId="26" xfId="6" applyFont="1" applyBorder="1">
      <alignment horizontal="left" vertical="center" wrapText="1"/>
    </xf>
    <xf numFmtId="0" fontId="14" fillId="0" borderId="40" xfId="6" applyFont="1" applyBorder="1">
      <alignment horizontal="left" vertical="center" wrapText="1"/>
    </xf>
    <xf numFmtId="0" fontId="14" fillId="0" borderId="31" xfId="6" applyFont="1" applyBorder="1">
      <alignment horizontal="left" vertical="center" wrapText="1"/>
    </xf>
    <xf numFmtId="49" fontId="18" fillId="3" borderId="7" xfId="6" applyNumberFormat="1" applyFont="1" applyFill="1" applyBorder="1" applyAlignment="1" applyProtection="1">
      <alignment horizontal="left" vertical="center"/>
      <protection locked="0"/>
    </xf>
    <xf numFmtId="49" fontId="18" fillId="3" borderId="8" xfId="6" applyNumberFormat="1" applyFont="1" applyFill="1" applyBorder="1" applyAlignment="1" applyProtection="1">
      <alignment horizontal="left" vertical="center"/>
      <protection locked="0"/>
    </xf>
    <xf numFmtId="49" fontId="18" fillId="3" borderId="2" xfId="6" applyNumberFormat="1" applyFont="1" applyFill="1" applyBorder="1" applyAlignment="1" applyProtection="1">
      <alignment horizontal="left" vertical="center"/>
      <protection locked="0"/>
    </xf>
    <xf numFmtId="49" fontId="18" fillId="3" borderId="10" xfId="6" applyNumberFormat="1" applyFont="1" applyFill="1" applyBorder="1" applyAlignment="1" applyProtection="1">
      <alignment horizontal="left" vertical="center"/>
      <protection locked="0"/>
    </xf>
    <xf numFmtId="0" fontId="22" fillId="2" borderId="6" xfId="2" applyFont="1" applyFill="1" applyBorder="1" applyAlignment="1">
      <alignment vertical="center"/>
    </xf>
    <xf numFmtId="0" fontId="22" fillId="2" borderId="7" xfId="2" applyFont="1" applyFill="1" applyBorder="1" applyAlignment="1">
      <alignment vertical="center"/>
    </xf>
    <xf numFmtId="0" fontId="22" fillId="2" borderId="12" xfId="2" applyFont="1" applyFill="1" applyBorder="1" applyAlignment="1">
      <alignment vertical="center"/>
    </xf>
    <xf numFmtId="0" fontId="22" fillId="2" borderId="0" xfId="2" applyFont="1" applyFill="1" applyBorder="1" applyAlignment="1">
      <alignment vertical="center"/>
    </xf>
    <xf numFmtId="0" fontId="23" fillId="6" borderId="1" xfId="2" applyFont="1" applyFill="1" applyBorder="1" applyAlignment="1">
      <alignment vertical="center"/>
    </xf>
    <xf numFmtId="0" fontId="23" fillId="6" borderId="2" xfId="2" applyFont="1" applyFill="1" applyBorder="1" applyAlignment="1">
      <alignment vertical="center"/>
    </xf>
    <xf numFmtId="0" fontId="24" fillId="6" borderId="4" xfId="2" applyFont="1" applyFill="1" applyBorder="1" applyAlignment="1">
      <alignment horizontal="left" vertical="center"/>
    </xf>
    <xf numFmtId="0" fontId="24" fillId="6" borderId="5" xfId="2" applyFont="1" applyFill="1" applyBorder="1" applyAlignment="1">
      <alignment horizontal="left" vertical="center"/>
    </xf>
    <xf numFmtId="0" fontId="4" fillId="0" borderId="0" xfId="2" applyFont="1" applyFill="1" applyBorder="1" applyAlignment="1">
      <alignment horizontal="right"/>
    </xf>
    <xf numFmtId="0" fontId="10" fillId="0" borderId="0" xfId="2" applyFont="1" applyFill="1" applyBorder="1" applyAlignment="1">
      <alignment horizontal="right"/>
    </xf>
    <xf numFmtId="0" fontId="16" fillId="2" borderId="0" xfId="2" applyFont="1" applyFill="1" applyBorder="1" applyAlignment="1">
      <alignment horizontal="left" vertical="center"/>
    </xf>
    <xf numFmtId="0" fontId="16" fillId="2" borderId="9" xfId="2" applyFont="1" applyFill="1" applyBorder="1" applyAlignment="1">
      <alignment horizontal="left" vertical="center"/>
    </xf>
    <xf numFmtId="0" fontId="16" fillId="2" borderId="4" xfId="2" applyFont="1" applyFill="1" applyBorder="1" applyAlignment="1">
      <alignment horizontal="left" vertical="center" wrapText="1"/>
    </xf>
    <xf numFmtId="0" fontId="16" fillId="2" borderId="5" xfId="2" applyFont="1" applyFill="1" applyBorder="1" applyAlignment="1">
      <alignment horizontal="left" vertical="center" wrapText="1"/>
    </xf>
    <xf numFmtId="0" fontId="12" fillId="2" borderId="13" xfId="2" applyFont="1" applyFill="1" applyBorder="1" applyAlignment="1">
      <alignment horizontal="left" vertical="center"/>
    </xf>
    <xf numFmtId="0" fontId="12" fillId="2" borderId="11" xfId="2" applyFont="1" applyFill="1" applyBorder="1" applyAlignment="1">
      <alignment horizontal="left" vertical="center"/>
    </xf>
    <xf numFmtId="0" fontId="12" fillId="2" borderId="15" xfId="2" applyFont="1" applyFill="1" applyBorder="1" applyAlignment="1">
      <alignment horizontal="left" vertical="center"/>
    </xf>
    <xf numFmtId="0" fontId="12" fillId="2" borderId="16" xfId="2" applyFont="1" applyFill="1" applyBorder="1" applyAlignment="1">
      <alignment horizontal="left" vertical="center"/>
    </xf>
    <xf numFmtId="0" fontId="6" fillId="2" borderId="0"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6" fillId="2" borderId="0" xfId="2" applyNumberFormat="1" applyFont="1" applyFill="1" applyBorder="1" applyAlignment="1">
      <alignment horizontal="left" vertical="center"/>
    </xf>
    <xf numFmtId="0" fontId="16" fillId="2" borderId="9" xfId="2" applyNumberFormat="1" applyFont="1" applyFill="1" applyBorder="1" applyAlignment="1">
      <alignment horizontal="left" vertical="center"/>
    </xf>
    <xf numFmtId="0" fontId="24" fillId="6" borderId="2" xfId="2" applyFont="1" applyFill="1" applyBorder="1" applyAlignment="1">
      <alignment horizontal="left" vertical="center"/>
    </xf>
    <xf numFmtId="0" fontId="24" fillId="6" borderId="10" xfId="2" applyFont="1" applyFill="1" applyBorder="1" applyAlignment="1">
      <alignment horizontal="left" vertical="center"/>
    </xf>
    <xf numFmtId="0" fontId="18" fillId="2" borderId="0" xfId="2" applyFont="1" applyFill="1" applyBorder="1" applyAlignment="1">
      <alignment horizontal="center" vertical="center"/>
    </xf>
    <xf numFmtId="0" fontId="18" fillId="2" borderId="9" xfId="2" applyFont="1" applyFill="1" applyBorder="1" applyAlignment="1">
      <alignment horizontal="center" vertical="center"/>
    </xf>
    <xf numFmtId="0" fontId="18" fillId="2" borderId="7" xfId="2" applyFont="1" applyFill="1" applyBorder="1" applyAlignment="1">
      <alignment horizontal="center" vertical="center"/>
    </xf>
    <xf numFmtId="0" fontId="18" fillId="2" borderId="8" xfId="2" applyFont="1" applyFill="1" applyBorder="1" applyAlignment="1">
      <alignment horizontal="center" vertical="center"/>
    </xf>
  </cellXfs>
  <cellStyles count="7">
    <cellStyle name="Excel Built-in Currency" xfId="1"/>
    <cellStyle name="Excel Built-in Normal" xfId="2"/>
    <cellStyle name="Excel Built-in Normal 2" xfId="3"/>
    <cellStyle name="Normální" xfId="0" builtinId="0"/>
    <cellStyle name="Normální 3 27" xfId="5"/>
    <cellStyle name="normální_POL.XLS" xfId="6"/>
    <cellStyle name="TableStyleLight1"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8F8F8"/>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DA84C"/>
      <color rgb="FFD60000"/>
      <color rgb="FFF8F8F8"/>
      <color rgb="FFFF9797"/>
      <color rgb="FFA2D9FF"/>
      <color rgb="FF118EC8"/>
      <color rgb="FF0E6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8F8F8"/>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8F8F8"/>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workbookViewId="0">
      <selection activeCell="H18" sqref="H18"/>
    </sheetView>
  </sheetViews>
  <sheetFormatPr defaultRowHeight="11.25" customHeight="1" x14ac:dyDescent="0.2"/>
  <cols>
    <col min="1" max="1" width="52.7109375" style="1" customWidth="1"/>
    <col min="2" max="2" width="16.7109375" style="1" customWidth="1"/>
    <col min="3" max="3" width="52.7109375" style="1" customWidth="1"/>
    <col min="4" max="4" width="16.7109375" style="1" customWidth="1"/>
    <col min="5" max="16384" width="9.140625" style="1"/>
  </cols>
  <sheetData>
    <row r="1" spans="1:11" s="4" customFormat="1" ht="2.1" customHeight="1" thickBot="1" x14ac:dyDescent="0.25"/>
    <row r="2" spans="1:11" ht="27.95" customHeight="1" thickBot="1" x14ac:dyDescent="0.25">
      <c r="A2" s="90"/>
      <c r="B2" s="233" t="s">
        <v>40</v>
      </c>
      <c r="C2" s="233"/>
      <c r="D2" s="234"/>
    </row>
    <row r="3" spans="1:11" ht="24" customHeight="1" x14ac:dyDescent="0.2">
      <c r="A3" s="17" t="s">
        <v>15</v>
      </c>
      <c r="B3" s="239" t="str">
        <f>'F Náklady stavby'!D3</f>
        <v>Sanace skal - DPS 2021</v>
      </c>
      <c r="C3" s="239"/>
      <c r="D3" s="240"/>
    </row>
    <row r="4" spans="1:11" ht="15" customHeight="1" x14ac:dyDescent="0.2">
      <c r="A4" s="18" t="s">
        <v>17</v>
      </c>
      <c r="B4" s="237" t="str">
        <f>'F Náklady stavby'!D5</f>
        <v>Město Znojmo, Obroková 1/12, 669 22 Znojmo</v>
      </c>
      <c r="C4" s="237"/>
      <c r="D4" s="238"/>
    </row>
    <row r="5" spans="1:11" s="4" customFormat="1" ht="15" customHeight="1" x14ac:dyDescent="0.2">
      <c r="A5" s="18" t="s">
        <v>16</v>
      </c>
      <c r="B5" s="249" t="str">
        <f>'F Náklady stavby'!D4</f>
        <v>DB18</v>
      </c>
      <c r="C5" s="249"/>
      <c r="D5" s="250"/>
    </row>
    <row r="6" spans="1:11" ht="15" customHeight="1" x14ac:dyDescent="0.2">
      <c r="A6" s="18" t="s">
        <v>18</v>
      </c>
      <c r="B6" s="237"/>
      <c r="C6" s="237"/>
      <c r="D6" s="238"/>
    </row>
    <row r="7" spans="1:11" ht="15" customHeight="1" x14ac:dyDescent="0.2">
      <c r="A7" s="18" t="s">
        <v>0</v>
      </c>
      <c r="B7" s="19">
        <f ca="1">NOW()</f>
        <v>45635.502073958334</v>
      </c>
      <c r="C7" s="20" t="s">
        <v>121</v>
      </c>
      <c r="D7" s="21"/>
    </row>
    <row r="8" spans="1:11" ht="6" customHeight="1" thickBot="1" x14ac:dyDescent="0.25">
      <c r="A8" s="22"/>
      <c r="B8" s="23"/>
      <c r="C8" s="23"/>
      <c r="D8" s="24"/>
    </row>
    <row r="9" spans="1:11" ht="27.95" customHeight="1" thickBot="1" x14ac:dyDescent="0.25">
      <c r="A9" s="91"/>
      <c r="B9" s="92" t="s">
        <v>1</v>
      </c>
      <c r="C9" s="92"/>
      <c r="D9" s="93"/>
    </row>
    <row r="10" spans="1:11" ht="12" customHeight="1" x14ac:dyDescent="0.2">
      <c r="A10" s="241" t="s">
        <v>19</v>
      </c>
      <c r="B10" s="242"/>
      <c r="C10" s="243" t="s">
        <v>24</v>
      </c>
      <c r="D10" s="244"/>
    </row>
    <row r="11" spans="1:11" ht="27.95" customHeight="1" x14ac:dyDescent="0.2">
      <c r="A11" s="25" t="str">
        <f>'F Náklady stavby'!D7</f>
        <v>Přípravné a přidružené práce a dočasné zajištění staveniště</v>
      </c>
      <c r="B11" s="42">
        <f>'F Náklady stavby'!H7</f>
        <v>0</v>
      </c>
      <c r="C11" s="27" t="str">
        <f>'F Náklady stavby'!D84</f>
        <v>Geodetické práce před výstavbou</v>
      </c>
      <c r="D11" s="26">
        <f>'F Náklady stavby'!H84</f>
        <v>0</v>
      </c>
    </row>
    <row r="12" spans="1:11" ht="27.95" customHeight="1" x14ac:dyDescent="0.2">
      <c r="A12" s="25" t="str">
        <f>'F Náklady stavby'!D18</f>
        <v>Odstranění vegetace, očištění, odtěžení a obnova aku. prostoru</v>
      </c>
      <c r="B12" s="42">
        <f>'F Náklady stavby'!H18</f>
        <v>0</v>
      </c>
      <c r="C12" s="27" t="str">
        <f>'F Náklady stavby'!D85</f>
        <v>Geodetické práce po výstavbě</v>
      </c>
      <c r="D12" s="26">
        <f>'F Náklady stavby'!H85</f>
        <v>0</v>
      </c>
      <c r="H12" s="3"/>
      <c r="I12" s="3"/>
      <c r="J12" s="3"/>
      <c r="K12" s="3"/>
    </row>
    <row r="13" spans="1:11" s="4" customFormat="1" ht="27.95" customHeight="1" x14ac:dyDescent="0.2">
      <c r="A13" s="25" t="str">
        <f>'F Náklady stavby'!D24</f>
        <v>Lokální kotvení skalních bloků</v>
      </c>
      <c r="B13" s="42">
        <f>'F Náklady stavby'!H24</f>
        <v>0</v>
      </c>
      <c r="C13" s="27" t="str">
        <f>'F Náklady stavby'!D86</f>
        <v>Projektová dokumentace skutečného provedení stavby - DSPS</v>
      </c>
      <c r="D13" s="26">
        <f>'F Náklady stavby'!H86</f>
        <v>0</v>
      </c>
      <c r="H13" s="3"/>
      <c r="I13" s="3"/>
      <c r="J13" s="3"/>
      <c r="K13" s="3"/>
    </row>
    <row r="14" spans="1:11" s="4" customFormat="1" ht="27.95" customHeight="1" x14ac:dyDescent="0.2">
      <c r="A14" s="25" t="str">
        <f>'F Náklady stavby'!D30</f>
        <v>Zajištění skalního svahu ocelovou sítí 80 x 100 mm</v>
      </c>
      <c r="B14" s="42">
        <f>'F Náklady stavby'!H30</f>
        <v>0</v>
      </c>
      <c r="C14" s="27" t="str">
        <f>'F Náklady stavby'!D87</f>
        <v>Geotechnický dozor stavby</v>
      </c>
      <c r="D14" s="26">
        <f>'F Náklady stavby'!H87</f>
        <v>0</v>
      </c>
      <c r="H14" s="3"/>
      <c r="I14" s="3"/>
      <c r="J14" s="3"/>
      <c r="K14" s="3"/>
    </row>
    <row r="15" spans="1:11" ht="27.95" customHeight="1" x14ac:dyDescent="0.2">
      <c r="A15" s="25" t="str">
        <f>'F Náklady stavby'!D40</f>
        <v>Ochranný plot výšky do 2 m</v>
      </c>
      <c r="B15" s="42">
        <f>'F Náklady stavby'!H40</f>
        <v>0</v>
      </c>
      <c r="C15" s="27" t="str">
        <f>'F Náklady stavby'!D88</f>
        <v>Vybavení staveniště, přenosné zdroje, zabezpečení staveniště, sociální zařízení, včetně jeho odstranění</v>
      </c>
      <c r="D15" s="26">
        <f>'F Náklady stavby'!H88</f>
        <v>0</v>
      </c>
      <c r="H15" s="14"/>
      <c r="I15" s="3"/>
      <c r="J15" s="3"/>
      <c r="K15" s="3"/>
    </row>
    <row r="16" spans="1:11" s="4" customFormat="1" ht="27.95" customHeight="1" x14ac:dyDescent="0.2">
      <c r="A16" s="25" t="str">
        <f>'F Náklady stavby'!D54</f>
        <v>Dynamická bariéra výšky do 4 m</v>
      </c>
      <c r="B16" s="42">
        <f>'F Náklady stavby'!H54</f>
        <v>0</v>
      </c>
      <c r="C16" s="27"/>
      <c r="D16" s="26"/>
      <c r="H16" s="14"/>
      <c r="I16" s="3"/>
      <c r="J16" s="3"/>
      <c r="K16" s="3"/>
    </row>
    <row r="17" spans="1:11" s="4" customFormat="1" ht="27.95" customHeight="1" x14ac:dyDescent="0.2">
      <c r="A17" s="25" t="str">
        <f>'F Náklady stavby'!D72</f>
        <v>Geotechnický monitoring</v>
      </c>
      <c r="B17" s="42">
        <f>'F Náklady stavby'!H72</f>
        <v>0</v>
      </c>
      <c r="C17" s="27"/>
      <c r="D17" s="26"/>
      <c r="H17" s="14"/>
      <c r="I17" s="3"/>
      <c r="J17" s="3"/>
      <c r="K17" s="3"/>
    </row>
    <row r="18" spans="1:11" s="4" customFormat="1" ht="27.95" customHeight="1" thickBot="1" x14ac:dyDescent="0.25">
      <c r="A18" s="25" t="str">
        <f>'F Náklady stavby'!D75</f>
        <v>Přesuny hmot</v>
      </c>
      <c r="B18" s="42">
        <f>'F Náklady stavby'!H75</f>
        <v>0</v>
      </c>
      <c r="C18" s="27"/>
      <c r="D18" s="26"/>
      <c r="H18" s="14"/>
      <c r="I18" s="3"/>
      <c r="J18" s="3"/>
      <c r="K18" s="3"/>
    </row>
    <row r="19" spans="1:11" ht="12" customHeight="1" thickBot="1" x14ac:dyDescent="0.25">
      <c r="A19" s="15" t="s">
        <v>21</v>
      </c>
      <c r="B19" s="43">
        <f>SUM(B11:B18)</f>
        <v>0</v>
      </c>
      <c r="C19" s="15" t="s">
        <v>27</v>
      </c>
      <c r="D19" s="43">
        <f>SUM(D11:D18)</f>
        <v>0</v>
      </c>
      <c r="F19" s="16"/>
      <c r="H19" s="3"/>
      <c r="I19" s="3"/>
      <c r="J19" s="3"/>
      <c r="K19" s="3"/>
    </row>
    <row r="20" spans="1:11" s="4" customFormat="1" ht="9.9499999999999993" customHeight="1" x14ac:dyDescent="0.2">
      <c r="A20" s="34"/>
      <c r="B20" s="28"/>
      <c r="C20" s="245"/>
      <c r="D20" s="246"/>
    </row>
    <row r="21" spans="1:11" ht="15" customHeight="1" x14ac:dyDescent="0.2">
      <c r="A21" s="35" t="s">
        <v>4</v>
      </c>
      <c r="B21" s="36">
        <f>D19+B19</f>
        <v>0</v>
      </c>
      <c r="C21" s="245"/>
      <c r="D21" s="246"/>
    </row>
    <row r="22" spans="1:11" ht="15" customHeight="1" x14ac:dyDescent="0.2">
      <c r="A22" s="37" t="s">
        <v>23</v>
      </c>
      <c r="B22" s="38">
        <f>0.21*B21</f>
        <v>0</v>
      </c>
      <c r="C22" s="245"/>
      <c r="D22" s="246"/>
    </row>
    <row r="23" spans="1:11" ht="9.9499999999999993" customHeight="1" thickBot="1" x14ac:dyDescent="0.25">
      <c r="A23" s="39"/>
      <c r="B23" s="40"/>
      <c r="C23" s="245"/>
      <c r="D23" s="246"/>
    </row>
    <row r="24" spans="1:11" ht="15" customHeight="1" thickBot="1" x14ac:dyDescent="0.25">
      <c r="A24" s="91" t="s">
        <v>20</v>
      </c>
      <c r="B24" s="94">
        <f>B21+B22</f>
        <v>0</v>
      </c>
      <c r="C24" s="247"/>
      <c r="D24" s="248"/>
    </row>
    <row r="25" spans="1:11" ht="12" customHeight="1" x14ac:dyDescent="0.2">
      <c r="A25" s="31" t="s">
        <v>5</v>
      </c>
      <c r="B25" s="28"/>
      <c r="C25" s="31" t="s">
        <v>28</v>
      </c>
      <c r="D25" s="29"/>
    </row>
    <row r="26" spans="1:11" ht="12" customHeight="1" x14ac:dyDescent="0.2">
      <c r="A26" s="32" t="s">
        <v>2</v>
      </c>
      <c r="B26" s="21"/>
      <c r="C26" s="32" t="s">
        <v>2</v>
      </c>
      <c r="D26" s="41"/>
    </row>
    <row r="27" spans="1:11" ht="12" customHeight="1" x14ac:dyDescent="0.2">
      <c r="A27" s="32" t="s">
        <v>0</v>
      </c>
      <c r="B27" s="21"/>
      <c r="C27" s="32" t="s">
        <v>0</v>
      </c>
      <c r="D27" s="30">
        <f ca="1">B7</f>
        <v>45635.502073958334</v>
      </c>
    </row>
    <row r="28" spans="1:11" ht="12" customHeight="1" thickBot="1" x14ac:dyDescent="0.25">
      <c r="A28" s="33" t="s">
        <v>3</v>
      </c>
      <c r="B28" s="24"/>
      <c r="C28" s="33" t="s">
        <v>3</v>
      </c>
      <c r="D28" s="24"/>
    </row>
    <row r="29" spans="1:11" ht="12" customHeight="1" x14ac:dyDescent="0.2">
      <c r="A29" s="6"/>
      <c r="B29" s="6"/>
      <c r="C29" s="6"/>
      <c r="D29" s="6"/>
    </row>
    <row r="30" spans="1:11" ht="15" customHeight="1" x14ac:dyDescent="0.2"/>
    <row r="31" spans="1:11" s="2" customFormat="1" ht="22.5" customHeight="1" x14ac:dyDescent="0.2"/>
    <row r="33" spans="1:4" ht="12" customHeight="1" x14ac:dyDescent="0.2"/>
    <row r="34" spans="1:4" ht="16.5" customHeight="1" x14ac:dyDescent="0.2"/>
    <row r="36" spans="1:4" ht="11.25" customHeight="1" x14ac:dyDescent="0.2">
      <c r="A36" s="8"/>
      <c r="B36" s="10"/>
      <c r="C36" s="13"/>
      <c r="D36" s="13"/>
    </row>
    <row r="37" spans="1:4" ht="15" customHeight="1" x14ac:dyDescent="0.2">
      <c r="A37" s="9"/>
      <c r="B37" s="11"/>
      <c r="C37" s="13"/>
      <c r="D37" s="13"/>
    </row>
    <row r="38" spans="1:4" ht="11.25" customHeight="1" x14ac:dyDescent="0.2">
      <c r="A38" s="7"/>
      <c r="B38" s="7"/>
      <c r="C38" s="13"/>
      <c r="D38" s="13"/>
    </row>
    <row r="39" spans="1:4" ht="11.25" customHeight="1" x14ac:dyDescent="0.2">
      <c r="A39" s="12"/>
      <c r="B39" s="7"/>
      <c r="C39" s="13"/>
      <c r="D39" s="13"/>
    </row>
    <row r="40" spans="1:4" ht="11.25" customHeight="1" x14ac:dyDescent="0.2">
      <c r="A40" s="7"/>
      <c r="B40" s="7"/>
      <c r="C40" s="236"/>
      <c r="D40" s="236"/>
    </row>
    <row r="41" spans="1:4" ht="12.75" customHeight="1" x14ac:dyDescent="0.2">
      <c r="A41" s="7"/>
      <c r="B41" s="7"/>
      <c r="C41" s="235"/>
      <c r="D41" s="235"/>
    </row>
    <row r="42" spans="1:4" ht="11.25" customHeight="1" x14ac:dyDescent="0.2">
      <c r="A42" s="5"/>
      <c r="B42" s="5"/>
      <c r="C42" s="5"/>
      <c r="D42" s="5"/>
    </row>
    <row r="43" spans="1:4" ht="11.25" customHeight="1" x14ac:dyDescent="0.2">
      <c r="A43" s="5"/>
      <c r="B43" s="5"/>
      <c r="C43" s="5"/>
      <c r="D43" s="5"/>
    </row>
  </sheetData>
  <mergeCells count="10">
    <mergeCell ref="B2:D2"/>
    <mergeCell ref="C41:D41"/>
    <mergeCell ref="C40:D40"/>
    <mergeCell ref="B6:D6"/>
    <mergeCell ref="B3:D3"/>
    <mergeCell ref="B4:D4"/>
    <mergeCell ref="A10:B10"/>
    <mergeCell ref="C10:D10"/>
    <mergeCell ref="C20:D24"/>
    <mergeCell ref="B5:D5"/>
  </mergeCells>
  <printOptions horizontalCentered="1"/>
  <pageMargins left="0.39370078740157483" right="0.39370078740157483" top="0.78740157480314965" bottom="0.39370078740157483" header="0.19685039370078741" footer="0.19685039370078741"/>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8"/>
  <sheetViews>
    <sheetView zoomScaleNormal="100" zoomScaleSheetLayoutView="80" workbookViewId="0">
      <selection activeCell="G8" sqref="G8"/>
    </sheetView>
  </sheetViews>
  <sheetFormatPr defaultRowHeight="12" x14ac:dyDescent="0.2"/>
  <cols>
    <col min="1" max="1" width="3.140625" style="62" customWidth="1"/>
    <col min="2" max="2" width="3.140625" style="61" customWidth="1"/>
    <col min="3" max="3" width="10.7109375" style="61" customWidth="1"/>
    <col min="4" max="4" width="80.7109375" style="62" customWidth="1"/>
    <col min="5" max="5" width="6.7109375" style="61" customWidth="1"/>
    <col min="6" max="6" width="8.7109375" style="63" customWidth="1"/>
    <col min="7" max="7" width="10.7109375" style="63" customWidth="1"/>
    <col min="8" max="8" width="11.7109375" style="63" customWidth="1"/>
    <col min="9" max="9" width="60.7109375" style="62" customWidth="1"/>
    <col min="10" max="10" width="88.7109375" style="62" customWidth="1"/>
    <col min="11" max="16384" width="9.140625" style="62"/>
  </cols>
  <sheetData>
    <row r="1" spans="2:10" ht="12.75" thickBot="1" x14ac:dyDescent="0.25"/>
    <row r="2" spans="2:10" ht="19.5" thickBot="1" x14ac:dyDescent="0.25">
      <c r="B2" s="231"/>
      <c r="C2" s="232"/>
      <c r="D2" s="251" t="s">
        <v>38</v>
      </c>
      <c r="E2" s="251"/>
      <c r="F2" s="251"/>
      <c r="G2" s="251"/>
      <c r="H2" s="251"/>
      <c r="I2" s="251"/>
      <c r="J2" s="252"/>
    </row>
    <row r="3" spans="2:10" ht="12.75" x14ac:dyDescent="0.2">
      <c r="B3" s="229" t="s">
        <v>25</v>
      </c>
      <c r="C3" s="230"/>
      <c r="D3" s="98" t="s">
        <v>55</v>
      </c>
      <c r="E3" s="253"/>
      <c r="F3" s="253"/>
      <c r="G3" s="253"/>
      <c r="H3" s="253"/>
      <c r="I3" s="253"/>
      <c r="J3" s="254"/>
    </row>
    <row r="4" spans="2:10" ht="12.75" x14ac:dyDescent="0.2">
      <c r="B4" s="96"/>
      <c r="C4" s="97" t="s">
        <v>39</v>
      </c>
      <c r="D4" s="98" t="s">
        <v>88</v>
      </c>
      <c r="E4" s="253"/>
      <c r="F4" s="253"/>
      <c r="G4" s="253"/>
      <c r="H4" s="253"/>
      <c r="I4" s="253"/>
      <c r="J4" s="254"/>
    </row>
    <row r="5" spans="2:10" ht="13.5" thickBot="1" x14ac:dyDescent="0.25">
      <c r="B5" s="227" t="s">
        <v>5</v>
      </c>
      <c r="C5" s="228"/>
      <c r="D5" s="89" t="s">
        <v>56</v>
      </c>
      <c r="E5" s="255"/>
      <c r="F5" s="255"/>
      <c r="G5" s="255"/>
      <c r="H5" s="255"/>
      <c r="I5" s="255"/>
      <c r="J5" s="256"/>
    </row>
    <row r="6" spans="2:10" ht="26.25" thickBot="1" x14ac:dyDescent="0.25">
      <c r="B6" s="66" t="s">
        <v>26</v>
      </c>
      <c r="C6" s="67" t="s">
        <v>6</v>
      </c>
      <c r="D6" s="67" t="s">
        <v>7</v>
      </c>
      <c r="E6" s="67" t="s">
        <v>8</v>
      </c>
      <c r="F6" s="68" t="s">
        <v>9</v>
      </c>
      <c r="G6" s="68" t="s">
        <v>14</v>
      </c>
      <c r="H6" s="68" t="s">
        <v>10</v>
      </c>
      <c r="I6" s="69" t="s">
        <v>142</v>
      </c>
      <c r="J6" s="69" t="s">
        <v>143</v>
      </c>
    </row>
    <row r="7" spans="2:10" ht="13.5" thickBot="1" x14ac:dyDescent="0.25">
      <c r="B7" s="80"/>
      <c r="C7" s="81"/>
      <c r="D7" s="82" t="s">
        <v>36</v>
      </c>
      <c r="E7" s="83"/>
      <c r="F7" s="83"/>
      <c r="G7" s="83"/>
      <c r="H7" s="84">
        <f>SUM(H8:H17)</f>
        <v>0</v>
      </c>
      <c r="I7" s="223"/>
      <c r="J7" s="224"/>
    </row>
    <row r="8" spans="2:10" ht="48" x14ac:dyDescent="0.2">
      <c r="B8" s="65">
        <v>1</v>
      </c>
      <c r="C8" s="116" t="s">
        <v>41</v>
      </c>
      <c r="D8" s="117" t="s">
        <v>57</v>
      </c>
      <c r="E8" s="118" t="s">
        <v>29</v>
      </c>
      <c r="F8" s="119">
        <f>CEILING(12*3*1.2,0.1)</f>
        <v>43.2</v>
      </c>
      <c r="G8" s="120"/>
      <c r="H8" s="54">
        <f t="shared" ref="H8:H28" si="0">F8*G8</f>
        <v>0</v>
      </c>
      <c r="I8" s="194" t="s">
        <v>122</v>
      </c>
      <c r="J8" s="195" t="s">
        <v>123</v>
      </c>
    </row>
    <row r="9" spans="2:10" ht="24" x14ac:dyDescent="0.2">
      <c r="B9" s="65">
        <v>2</v>
      </c>
      <c r="C9" s="116">
        <v>619996137</v>
      </c>
      <c r="D9" s="117" t="s">
        <v>67</v>
      </c>
      <c r="E9" s="118" t="s">
        <v>29</v>
      </c>
      <c r="F9" s="119">
        <f>CEILING(3*0.7*3,0.1)</f>
        <v>6.3000000000000007</v>
      </c>
      <c r="G9" s="120"/>
      <c r="H9" s="54">
        <f t="shared" si="0"/>
        <v>0</v>
      </c>
      <c r="I9" s="196" t="s">
        <v>124</v>
      </c>
      <c r="J9" s="195" t="s">
        <v>125</v>
      </c>
    </row>
    <row r="10" spans="2:10" ht="36" x14ac:dyDescent="0.2">
      <c r="B10" s="64">
        <v>3</v>
      </c>
      <c r="C10" s="106">
        <v>155213612</v>
      </c>
      <c r="D10" s="79" t="s">
        <v>64</v>
      </c>
      <c r="E10" s="116" t="s">
        <v>11</v>
      </c>
      <c r="F10" s="119">
        <f>CEILING((20+13+20)/4+3,1)</f>
        <v>17</v>
      </c>
      <c r="G10" s="107"/>
      <c r="H10" s="108">
        <f t="shared" si="0"/>
        <v>0</v>
      </c>
      <c r="I10" s="197" t="s">
        <v>126</v>
      </c>
      <c r="J10" s="198" t="s">
        <v>127</v>
      </c>
    </row>
    <row r="11" spans="2:10" x14ac:dyDescent="0.2">
      <c r="B11" s="64">
        <v>4</v>
      </c>
      <c r="C11" s="106" t="s">
        <v>58</v>
      </c>
      <c r="D11" s="99" t="s">
        <v>59</v>
      </c>
      <c r="E11" s="116" t="s">
        <v>11</v>
      </c>
      <c r="F11" s="119">
        <f>F10</f>
        <v>17</v>
      </c>
      <c r="G11" s="107"/>
      <c r="H11" s="108">
        <f t="shared" si="0"/>
        <v>0</v>
      </c>
      <c r="I11" s="197" t="s">
        <v>128</v>
      </c>
      <c r="J11" s="198" t="s">
        <v>129</v>
      </c>
    </row>
    <row r="12" spans="2:10" ht="24" x14ac:dyDescent="0.2">
      <c r="B12" s="64">
        <v>5</v>
      </c>
      <c r="C12" s="121">
        <v>155214521</v>
      </c>
      <c r="D12" s="122" t="s">
        <v>60</v>
      </c>
      <c r="E12" s="106" t="s">
        <v>29</v>
      </c>
      <c r="F12" s="119">
        <f>CEILING((20+13+20)*3,1)</f>
        <v>159</v>
      </c>
      <c r="G12" s="107"/>
      <c r="H12" s="108">
        <f t="shared" si="0"/>
        <v>0</v>
      </c>
      <c r="I12" s="199" t="s">
        <v>130</v>
      </c>
      <c r="J12" s="200" t="s">
        <v>131</v>
      </c>
    </row>
    <row r="13" spans="2:10" ht="26.25" x14ac:dyDescent="0.2">
      <c r="B13" s="64">
        <v>6</v>
      </c>
      <c r="C13" s="123">
        <v>919726121</v>
      </c>
      <c r="D13" s="124" t="s">
        <v>61</v>
      </c>
      <c r="E13" s="125" t="s">
        <v>29</v>
      </c>
      <c r="F13" s="126">
        <f>CEILING((F12*1.2),1)</f>
        <v>191</v>
      </c>
      <c r="G13" s="107"/>
      <c r="H13" s="108">
        <f t="shared" si="0"/>
        <v>0</v>
      </c>
      <c r="I13" s="194" t="s">
        <v>132</v>
      </c>
      <c r="J13" s="198" t="s">
        <v>133</v>
      </c>
    </row>
    <row r="14" spans="2:10" ht="14.25" x14ac:dyDescent="0.2">
      <c r="B14" s="64">
        <v>7</v>
      </c>
      <c r="C14" s="123" t="s">
        <v>62</v>
      </c>
      <c r="D14" s="99" t="s">
        <v>65</v>
      </c>
      <c r="E14" s="106" t="s">
        <v>29</v>
      </c>
      <c r="F14" s="126">
        <f>F13</f>
        <v>191</v>
      </c>
      <c r="G14" s="107"/>
      <c r="H14" s="108">
        <f t="shared" si="0"/>
        <v>0</v>
      </c>
      <c r="I14" s="197" t="s">
        <v>134</v>
      </c>
      <c r="J14" s="198" t="s">
        <v>135</v>
      </c>
    </row>
    <row r="15" spans="2:10" x14ac:dyDescent="0.2">
      <c r="B15" s="64">
        <v>8</v>
      </c>
      <c r="C15" s="106">
        <v>155214211</v>
      </c>
      <c r="D15" s="99" t="s">
        <v>46</v>
      </c>
      <c r="E15" s="128" t="s">
        <v>12</v>
      </c>
      <c r="F15" s="126">
        <f>CEILING(20+13+20,1)</f>
        <v>53</v>
      </c>
      <c r="G15" s="107"/>
      <c r="H15" s="108">
        <f t="shared" si="0"/>
        <v>0</v>
      </c>
      <c r="I15" s="197" t="s">
        <v>136</v>
      </c>
      <c r="J15" s="198" t="s">
        <v>137</v>
      </c>
    </row>
    <row r="16" spans="2:10" ht="24" x14ac:dyDescent="0.2">
      <c r="B16" s="64">
        <v>9</v>
      </c>
      <c r="C16" s="129">
        <v>31452107</v>
      </c>
      <c r="D16" s="99" t="s">
        <v>47</v>
      </c>
      <c r="E16" s="128" t="s">
        <v>12</v>
      </c>
      <c r="F16" s="126">
        <f>CEILING((F15*1.2),1)</f>
        <v>64</v>
      </c>
      <c r="G16" s="107"/>
      <c r="H16" s="108">
        <f t="shared" si="0"/>
        <v>0</v>
      </c>
      <c r="I16" s="194" t="s">
        <v>138</v>
      </c>
      <c r="J16" s="200" t="s">
        <v>139</v>
      </c>
    </row>
    <row r="17" spans="2:10" ht="24.75" thickBot="1" x14ac:dyDescent="0.25">
      <c r="B17" s="64">
        <v>10</v>
      </c>
      <c r="C17" s="121" t="s">
        <v>63</v>
      </c>
      <c r="D17" s="127" t="s">
        <v>66</v>
      </c>
      <c r="E17" s="106" t="s">
        <v>29</v>
      </c>
      <c r="F17" s="119">
        <f>F12</f>
        <v>159</v>
      </c>
      <c r="G17" s="107"/>
      <c r="H17" s="108">
        <f t="shared" ref="H17" si="1">F17*G17</f>
        <v>0</v>
      </c>
      <c r="I17" s="197" t="s">
        <v>140</v>
      </c>
      <c r="J17" s="198" t="s">
        <v>141</v>
      </c>
    </row>
    <row r="18" spans="2:10" s="70" customFormat="1" ht="13.5" thickBot="1" x14ac:dyDescent="0.25">
      <c r="B18" s="80"/>
      <c r="C18" s="81"/>
      <c r="D18" s="82" t="s">
        <v>68</v>
      </c>
      <c r="E18" s="83"/>
      <c r="F18" s="83"/>
      <c r="G18" s="83"/>
      <c r="H18" s="84">
        <f>SUM(H19:H23)</f>
        <v>0</v>
      </c>
      <c r="I18" s="225"/>
      <c r="J18" s="226"/>
    </row>
    <row r="19" spans="2:10" s="70" customFormat="1" ht="36" x14ac:dyDescent="0.2">
      <c r="B19" s="65">
        <v>11</v>
      </c>
      <c r="C19" s="104">
        <v>155211112</v>
      </c>
      <c r="D19" s="105" t="s">
        <v>48</v>
      </c>
      <c r="E19" s="106" t="s">
        <v>29</v>
      </c>
      <c r="F19" s="130">
        <f>CEILING((805.8*1.7*1.3)*1,1)</f>
        <v>1781</v>
      </c>
      <c r="G19" s="107"/>
      <c r="H19" s="120">
        <f t="shared" ref="H19:H23" si="2">F19*G19</f>
        <v>0</v>
      </c>
      <c r="I19" s="197" t="s">
        <v>144</v>
      </c>
      <c r="J19" s="198" t="s">
        <v>145</v>
      </c>
    </row>
    <row r="20" spans="2:10" s="70" customFormat="1" ht="36" x14ac:dyDescent="0.2">
      <c r="B20" s="65">
        <v>12</v>
      </c>
      <c r="C20" s="104" t="s">
        <v>70</v>
      </c>
      <c r="D20" s="105" t="s">
        <v>71</v>
      </c>
      <c r="E20" s="106" t="s">
        <v>29</v>
      </c>
      <c r="F20" s="130">
        <f>F19</f>
        <v>1781</v>
      </c>
      <c r="G20" s="108"/>
      <c r="H20" s="108">
        <f t="shared" si="2"/>
        <v>0</v>
      </c>
      <c r="I20" s="197" t="s">
        <v>146</v>
      </c>
      <c r="J20" s="198" t="s">
        <v>147</v>
      </c>
    </row>
    <row r="21" spans="2:10" s="70" customFormat="1" ht="72" x14ac:dyDescent="0.2">
      <c r="B21" s="65">
        <v>13</v>
      </c>
      <c r="C21" s="106">
        <v>155211122</v>
      </c>
      <c r="D21" s="131" t="s">
        <v>69</v>
      </c>
      <c r="E21" s="118" t="s">
        <v>49</v>
      </c>
      <c r="F21" s="126">
        <f>CEILING((527.4*3.24*1.3*0.2)*0.1,0.1)</f>
        <v>44.5</v>
      </c>
      <c r="G21" s="107"/>
      <c r="H21" s="108">
        <f t="shared" si="2"/>
        <v>0</v>
      </c>
      <c r="I21" s="197" t="s">
        <v>148</v>
      </c>
      <c r="J21" s="198" t="s">
        <v>149</v>
      </c>
    </row>
    <row r="22" spans="2:10" s="70" customFormat="1" ht="62.25" x14ac:dyDescent="0.2">
      <c r="B22" s="65">
        <v>14</v>
      </c>
      <c r="C22" s="106">
        <v>155211311</v>
      </c>
      <c r="D22" s="99" t="s">
        <v>72</v>
      </c>
      <c r="E22" s="106" t="s">
        <v>49</v>
      </c>
      <c r="F22" s="126">
        <f>6.3+7.8+9.5</f>
        <v>23.6</v>
      </c>
      <c r="G22" s="107"/>
      <c r="H22" s="108">
        <f t="shared" si="2"/>
        <v>0</v>
      </c>
      <c r="I22" s="197" t="s">
        <v>150</v>
      </c>
      <c r="J22" s="198" t="s">
        <v>151</v>
      </c>
    </row>
    <row r="23" spans="2:10" s="70" customFormat="1" ht="60.75" thickBot="1" x14ac:dyDescent="0.25">
      <c r="B23" s="109">
        <v>15</v>
      </c>
      <c r="C23" s="114">
        <v>122211101</v>
      </c>
      <c r="D23" s="187" t="s">
        <v>119</v>
      </c>
      <c r="E23" s="133" t="s">
        <v>49</v>
      </c>
      <c r="F23" s="134">
        <f>CEILING(117.4*1.1*0.5,0.1)</f>
        <v>64.600000000000009</v>
      </c>
      <c r="G23" s="107"/>
      <c r="H23" s="135">
        <f t="shared" si="2"/>
        <v>0</v>
      </c>
      <c r="I23" s="197" t="s">
        <v>152</v>
      </c>
      <c r="J23" s="198" t="s">
        <v>153</v>
      </c>
    </row>
    <row r="24" spans="2:10" s="70" customFormat="1" ht="13.5" thickBot="1" x14ac:dyDescent="0.25">
      <c r="B24" s="161"/>
      <c r="C24" s="162"/>
      <c r="D24" s="163" t="s">
        <v>42</v>
      </c>
      <c r="E24" s="164"/>
      <c r="F24" s="164"/>
      <c r="G24" s="164"/>
      <c r="H24" s="165">
        <f>SUM(H25:H29)</f>
        <v>0</v>
      </c>
      <c r="I24" s="225"/>
      <c r="J24" s="226"/>
    </row>
    <row r="25" spans="2:10" s="70" customFormat="1" ht="36" x14ac:dyDescent="0.2">
      <c r="B25" s="154">
        <v>16</v>
      </c>
      <c r="C25" s="155">
        <v>155212114</v>
      </c>
      <c r="D25" s="156" t="s">
        <v>73</v>
      </c>
      <c r="E25" s="157" t="s">
        <v>12</v>
      </c>
      <c r="F25" s="142">
        <f>F26*3</f>
        <v>63</v>
      </c>
      <c r="G25" s="158"/>
      <c r="H25" s="102">
        <f t="shared" ref="H25" si="3">F25*G25</f>
        <v>0</v>
      </c>
      <c r="I25" s="201" t="s">
        <v>154</v>
      </c>
      <c r="J25" s="202" t="s">
        <v>155</v>
      </c>
    </row>
    <row r="26" spans="2:10" s="70" customFormat="1" ht="24" x14ac:dyDescent="0.2">
      <c r="B26" s="64">
        <v>17</v>
      </c>
      <c r="C26" s="136">
        <v>155213112</v>
      </c>
      <c r="D26" s="79" t="s">
        <v>74</v>
      </c>
      <c r="E26" s="125" t="s">
        <v>11</v>
      </c>
      <c r="F26" s="137">
        <f>21</f>
        <v>21</v>
      </c>
      <c r="G26" s="107"/>
      <c r="H26" s="50">
        <f t="shared" si="0"/>
        <v>0</v>
      </c>
      <c r="I26" s="203" t="s">
        <v>156</v>
      </c>
      <c r="J26" s="204" t="s">
        <v>157</v>
      </c>
    </row>
    <row r="27" spans="2:10" s="70" customFormat="1" ht="36" x14ac:dyDescent="0.2">
      <c r="B27" s="149">
        <v>18</v>
      </c>
      <c r="C27" s="150">
        <v>789321120</v>
      </c>
      <c r="D27" s="151" t="s">
        <v>37</v>
      </c>
      <c r="E27" s="49" t="s">
        <v>29</v>
      </c>
      <c r="F27" s="74">
        <f>CEILING(((2*(PI()*(0.025^2)/4))+(PI()*0.025))*1.3*3*F26,1)</f>
        <v>7</v>
      </c>
      <c r="G27" s="50"/>
      <c r="H27" s="50">
        <f t="shared" si="0"/>
        <v>0</v>
      </c>
      <c r="I27" s="203" t="s">
        <v>158</v>
      </c>
      <c r="J27" s="204" t="s">
        <v>159</v>
      </c>
    </row>
    <row r="28" spans="2:10" s="70" customFormat="1" ht="24" x14ac:dyDescent="0.2">
      <c r="B28" s="149">
        <v>19</v>
      </c>
      <c r="C28" s="121">
        <v>281604111</v>
      </c>
      <c r="D28" s="122" t="s">
        <v>75</v>
      </c>
      <c r="E28" s="138" t="s">
        <v>13</v>
      </c>
      <c r="F28" s="119">
        <f>CEILING(F25*0.2,0.1)</f>
        <v>12.600000000000001</v>
      </c>
      <c r="G28" s="120"/>
      <c r="H28" s="120">
        <f t="shared" si="0"/>
        <v>0</v>
      </c>
      <c r="I28" s="205" t="s">
        <v>160</v>
      </c>
      <c r="J28" s="200" t="s">
        <v>161</v>
      </c>
    </row>
    <row r="29" spans="2:10" s="70" customFormat="1" ht="24.75" thickBot="1" x14ac:dyDescent="0.25">
      <c r="B29" s="149">
        <v>20</v>
      </c>
      <c r="C29" s="150">
        <v>155213511</v>
      </c>
      <c r="D29" s="151" t="s">
        <v>43</v>
      </c>
      <c r="E29" s="150" t="s">
        <v>11</v>
      </c>
      <c r="F29" s="152">
        <f>2</f>
        <v>2</v>
      </c>
      <c r="G29" s="153"/>
      <c r="H29" s="153">
        <f t="shared" ref="H29" si="4">F29*G29</f>
        <v>0</v>
      </c>
      <c r="I29" s="203" t="s">
        <v>162</v>
      </c>
      <c r="J29" s="206" t="s">
        <v>163</v>
      </c>
    </row>
    <row r="30" spans="2:10" s="70" customFormat="1" ht="13.5" thickBot="1" x14ac:dyDescent="0.25">
      <c r="B30" s="173"/>
      <c r="C30" s="174"/>
      <c r="D30" s="175" t="s">
        <v>89</v>
      </c>
      <c r="E30" s="174"/>
      <c r="F30" s="174"/>
      <c r="G30" s="176"/>
      <c r="H30" s="177">
        <f>SUM(H31:H39)</f>
        <v>0</v>
      </c>
      <c r="I30" s="225"/>
      <c r="J30" s="226"/>
    </row>
    <row r="31" spans="2:10" s="70" customFormat="1" ht="36" x14ac:dyDescent="0.2">
      <c r="B31" s="65">
        <v>21</v>
      </c>
      <c r="C31" s="168">
        <v>155212114</v>
      </c>
      <c r="D31" s="169" t="s">
        <v>73</v>
      </c>
      <c r="E31" s="170" t="s">
        <v>12</v>
      </c>
      <c r="F31" s="119">
        <f>F32*2</f>
        <v>134</v>
      </c>
      <c r="G31" s="171"/>
      <c r="H31" s="172">
        <f t="shared" ref="H31" si="5">F31*G31</f>
        <v>0</v>
      </c>
      <c r="I31" s="201" t="s">
        <v>164</v>
      </c>
      <c r="J31" s="202" t="s">
        <v>165</v>
      </c>
    </row>
    <row r="32" spans="2:10" s="70" customFormat="1" ht="48" x14ac:dyDescent="0.2">
      <c r="B32" s="65">
        <v>22</v>
      </c>
      <c r="C32" s="136">
        <v>155213112</v>
      </c>
      <c r="D32" s="79" t="s">
        <v>74</v>
      </c>
      <c r="E32" s="125" t="s">
        <v>11</v>
      </c>
      <c r="F32" s="75">
        <f>CEILING(((9+7+16)*1.2/3+3)+((11+2+4)*1.2/2+3),1)+CEILING(F35/(3*2)*1.2,1)</f>
        <v>67</v>
      </c>
      <c r="G32" s="107"/>
      <c r="H32" s="50">
        <f t="shared" ref="H32:H88" si="6">F32*G32</f>
        <v>0</v>
      </c>
      <c r="I32" s="197" t="s">
        <v>166</v>
      </c>
      <c r="J32" s="204" t="s">
        <v>167</v>
      </c>
    </row>
    <row r="33" spans="2:10" s="70" customFormat="1" ht="36" x14ac:dyDescent="0.2">
      <c r="B33" s="65">
        <v>23</v>
      </c>
      <c r="C33" s="49">
        <v>789321120</v>
      </c>
      <c r="D33" s="55" t="s">
        <v>44</v>
      </c>
      <c r="E33" s="49" t="s">
        <v>29</v>
      </c>
      <c r="F33" s="74">
        <f>CEILING(((2*(PI()*(0.025^2)/4))+(PI()*0.025))*1.3*2*F32,1)</f>
        <v>14</v>
      </c>
      <c r="G33" s="50"/>
      <c r="H33" s="50">
        <f t="shared" si="6"/>
        <v>0</v>
      </c>
      <c r="I33" s="203" t="s">
        <v>168</v>
      </c>
      <c r="J33" s="204" t="s">
        <v>159</v>
      </c>
    </row>
    <row r="34" spans="2:10" s="70" customFormat="1" ht="24" x14ac:dyDescent="0.2">
      <c r="B34" s="65">
        <v>24</v>
      </c>
      <c r="C34" s="121">
        <v>281604111</v>
      </c>
      <c r="D34" s="122" t="s">
        <v>75</v>
      </c>
      <c r="E34" s="138" t="s">
        <v>13</v>
      </c>
      <c r="F34" s="119">
        <f>CEILING(F31*0.2,0.1)</f>
        <v>26.8</v>
      </c>
      <c r="G34" s="120"/>
      <c r="H34" s="50">
        <f t="shared" si="6"/>
        <v>0</v>
      </c>
      <c r="I34" s="205" t="s">
        <v>169</v>
      </c>
      <c r="J34" s="200" t="s">
        <v>161</v>
      </c>
    </row>
    <row r="35" spans="2:10" s="70" customFormat="1" ht="26.25" x14ac:dyDescent="0.2">
      <c r="B35" s="65">
        <v>25</v>
      </c>
      <c r="C35" s="49">
        <v>155214111</v>
      </c>
      <c r="D35" s="100" t="s">
        <v>45</v>
      </c>
      <c r="E35" s="49" t="s">
        <v>29</v>
      </c>
      <c r="F35" s="74">
        <f>CEILING(45.2*3.42*1.2,1)</f>
        <v>186</v>
      </c>
      <c r="G35" s="59"/>
      <c r="H35" s="50">
        <f t="shared" si="6"/>
        <v>0</v>
      </c>
      <c r="I35" s="207" t="s">
        <v>170</v>
      </c>
      <c r="J35" s="208" t="s">
        <v>171</v>
      </c>
    </row>
    <row r="36" spans="2:10" s="70" customFormat="1" ht="36" x14ac:dyDescent="0.2">
      <c r="B36" s="65">
        <v>26</v>
      </c>
      <c r="C36" s="106">
        <v>31319092</v>
      </c>
      <c r="D36" s="99" t="s">
        <v>90</v>
      </c>
      <c r="E36" s="49" t="s">
        <v>29</v>
      </c>
      <c r="F36" s="74">
        <f>CEILING(F35*1.2,1)</f>
        <v>224</v>
      </c>
      <c r="G36" s="59"/>
      <c r="H36" s="50">
        <f t="shared" si="6"/>
        <v>0</v>
      </c>
      <c r="I36" s="207" t="s">
        <v>172</v>
      </c>
      <c r="J36" s="200" t="s">
        <v>173</v>
      </c>
    </row>
    <row r="37" spans="2:10" s="70" customFormat="1" ht="24" x14ac:dyDescent="0.2">
      <c r="B37" s="65">
        <v>27</v>
      </c>
      <c r="C37" s="49">
        <v>155214211</v>
      </c>
      <c r="D37" s="55" t="s">
        <v>46</v>
      </c>
      <c r="E37" s="101" t="s">
        <v>12</v>
      </c>
      <c r="F37" s="74">
        <f>CEILING((9+7+16+11+2+4)*1.2+(F35*0.29)*1.2,1)</f>
        <v>124</v>
      </c>
      <c r="G37" s="50"/>
      <c r="H37" s="50">
        <f t="shared" ref="H37" si="7">F37*G37</f>
        <v>0</v>
      </c>
      <c r="I37" s="209" t="s">
        <v>174</v>
      </c>
      <c r="J37" s="200" t="s">
        <v>175</v>
      </c>
    </row>
    <row r="38" spans="2:10" s="70" customFormat="1" ht="26.25" x14ac:dyDescent="0.2">
      <c r="B38" s="65">
        <v>28</v>
      </c>
      <c r="C38" s="106">
        <v>31452106</v>
      </c>
      <c r="D38" s="99" t="s">
        <v>91</v>
      </c>
      <c r="E38" s="121" t="s">
        <v>12</v>
      </c>
      <c r="F38" s="126">
        <f>CEILING((F35*0.29)*1.2*1.2,1)</f>
        <v>78</v>
      </c>
      <c r="G38" s="59"/>
      <c r="H38" s="50">
        <f t="shared" si="6"/>
        <v>0</v>
      </c>
      <c r="I38" s="209" t="s">
        <v>176</v>
      </c>
      <c r="J38" s="200" t="s">
        <v>177</v>
      </c>
    </row>
    <row r="39" spans="2:10" s="70" customFormat="1" ht="24.75" thickBot="1" x14ac:dyDescent="0.25">
      <c r="B39" s="65">
        <v>29</v>
      </c>
      <c r="C39" s="166">
        <v>31452107</v>
      </c>
      <c r="D39" s="159" t="s">
        <v>47</v>
      </c>
      <c r="E39" s="167" t="s">
        <v>12</v>
      </c>
      <c r="F39" s="160">
        <f>CEILING((9+7+16+11+2+4)*1.2*1.2,1)</f>
        <v>71</v>
      </c>
      <c r="G39" s="103"/>
      <c r="H39" s="103">
        <f t="shared" si="6"/>
        <v>0</v>
      </c>
      <c r="I39" s="205" t="s">
        <v>178</v>
      </c>
      <c r="J39" s="200" t="s">
        <v>139</v>
      </c>
    </row>
    <row r="40" spans="2:10" s="70" customFormat="1" ht="13.5" thickBot="1" x14ac:dyDescent="0.25">
      <c r="B40" s="87"/>
      <c r="C40" s="81"/>
      <c r="D40" s="85" t="s">
        <v>92</v>
      </c>
      <c r="E40" s="81"/>
      <c r="F40" s="81"/>
      <c r="G40" s="88"/>
      <c r="H40" s="86">
        <f>SUM(H41:H53)</f>
        <v>0</v>
      </c>
      <c r="I40" s="225"/>
      <c r="J40" s="226"/>
    </row>
    <row r="41" spans="2:10" s="70" customFormat="1" ht="24" x14ac:dyDescent="0.2">
      <c r="B41" s="60">
        <v>30</v>
      </c>
      <c r="C41" s="121">
        <v>155212344</v>
      </c>
      <c r="D41" s="122" t="s">
        <v>93</v>
      </c>
      <c r="E41" s="121" t="s">
        <v>12</v>
      </c>
      <c r="F41" s="178">
        <f>F44*1.1</f>
        <v>20.900000000000002</v>
      </c>
      <c r="G41" s="50"/>
      <c r="H41" s="50">
        <f t="shared" ref="H41:H51" si="8">F41*G41</f>
        <v>0</v>
      </c>
      <c r="I41" s="201" t="s">
        <v>179</v>
      </c>
      <c r="J41" s="198" t="s">
        <v>180</v>
      </c>
    </row>
    <row r="42" spans="2:10" s="70" customFormat="1" ht="36" x14ac:dyDescent="0.2">
      <c r="B42" s="60">
        <v>31</v>
      </c>
      <c r="C42" s="116">
        <v>131213102</v>
      </c>
      <c r="D42" s="117" t="s">
        <v>117</v>
      </c>
      <c r="E42" s="106" t="s">
        <v>49</v>
      </c>
      <c r="F42" s="178">
        <f>CEILING(((F44+F46)*0.5*0.5*0.6)*1.2,0.1)</f>
        <v>6</v>
      </c>
      <c r="G42" s="54"/>
      <c r="H42" s="50">
        <f t="shared" si="8"/>
        <v>0</v>
      </c>
      <c r="I42" s="201" t="s">
        <v>181</v>
      </c>
      <c r="J42" s="198" t="s">
        <v>182</v>
      </c>
    </row>
    <row r="43" spans="2:10" s="70" customFormat="1" ht="24" x14ac:dyDescent="0.2">
      <c r="B43" s="60">
        <v>32</v>
      </c>
      <c r="C43" s="121">
        <v>275311127</v>
      </c>
      <c r="D43" s="122" t="s">
        <v>94</v>
      </c>
      <c r="E43" s="106" t="s">
        <v>49</v>
      </c>
      <c r="F43" s="178">
        <f>F42</f>
        <v>6</v>
      </c>
      <c r="G43" s="54"/>
      <c r="H43" s="50">
        <f t="shared" si="8"/>
        <v>0</v>
      </c>
      <c r="I43" s="201" t="s">
        <v>183</v>
      </c>
      <c r="J43" s="198" t="s">
        <v>184</v>
      </c>
    </row>
    <row r="44" spans="2:10" s="70" customFormat="1" ht="60" x14ac:dyDescent="0.2">
      <c r="B44" s="60">
        <v>33</v>
      </c>
      <c r="C44" s="121">
        <v>155214411</v>
      </c>
      <c r="D44" s="122" t="s">
        <v>95</v>
      </c>
      <c r="E44" s="121" t="s">
        <v>11</v>
      </c>
      <c r="F44" s="178">
        <f>CEILING((12+22)/2+2,1)</f>
        <v>19</v>
      </c>
      <c r="G44" s="54"/>
      <c r="H44" s="50">
        <f t="shared" si="8"/>
        <v>0</v>
      </c>
      <c r="I44" s="201" t="s">
        <v>185</v>
      </c>
      <c r="J44" s="198" t="s">
        <v>186</v>
      </c>
    </row>
    <row r="45" spans="2:10" s="70" customFormat="1" ht="24" x14ac:dyDescent="0.2">
      <c r="B45" s="60">
        <v>34</v>
      </c>
      <c r="C45" s="121">
        <v>155214511</v>
      </c>
      <c r="D45" s="99" t="s">
        <v>96</v>
      </c>
      <c r="E45" s="121" t="s">
        <v>11</v>
      </c>
      <c r="F45" s="178">
        <f>CEILING(F44+2+2,1)</f>
        <v>23</v>
      </c>
      <c r="G45" s="54"/>
      <c r="H45" s="50">
        <f t="shared" si="8"/>
        <v>0</v>
      </c>
      <c r="I45" s="201" t="s">
        <v>187</v>
      </c>
      <c r="J45" s="210" t="s">
        <v>188</v>
      </c>
    </row>
    <row r="46" spans="2:10" s="70" customFormat="1" ht="48" x14ac:dyDescent="0.2">
      <c r="B46" s="60">
        <v>35</v>
      </c>
      <c r="C46" s="121">
        <v>155213611</v>
      </c>
      <c r="D46" s="99" t="s">
        <v>118</v>
      </c>
      <c r="E46" s="121" t="s">
        <v>11</v>
      </c>
      <c r="F46" s="178">
        <f>CEILING(F44/2+2+2,1)</f>
        <v>14</v>
      </c>
      <c r="G46" s="54"/>
      <c r="H46" s="50">
        <f t="shared" si="8"/>
        <v>0</v>
      </c>
      <c r="I46" s="201" t="s">
        <v>189</v>
      </c>
      <c r="J46" s="198" t="s">
        <v>190</v>
      </c>
    </row>
    <row r="47" spans="2:10" s="70" customFormat="1" ht="24" x14ac:dyDescent="0.2">
      <c r="B47" s="60">
        <v>36</v>
      </c>
      <c r="C47" s="106" t="s">
        <v>58</v>
      </c>
      <c r="D47" s="99" t="s">
        <v>59</v>
      </c>
      <c r="E47" s="116" t="s">
        <v>11</v>
      </c>
      <c r="F47" s="119">
        <f>F46</f>
        <v>14</v>
      </c>
      <c r="G47" s="108"/>
      <c r="H47" s="108">
        <f t="shared" si="8"/>
        <v>0</v>
      </c>
      <c r="I47" s="201" t="s">
        <v>191</v>
      </c>
      <c r="J47" s="198" t="s">
        <v>192</v>
      </c>
    </row>
    <row r="48" spans="2:10" s="70" customFormat="1" ht="38.25" x14ac:dyDescent="0.2">
      <c r="B48" s="60">
        <v>37</v>
      </c>
      <c r="C48" s="106">
        <v>789321110</v>
      </c>
      <c r="D48" s="99" t="s">
        <v>99</v>
      </c>
      <c r="E48" s="106" t="s">
        <v>29</v>
      </c>
      <c r="F48" s="186">
        <f>CEILING((F44*((2*(PI()*(0.089^2)/4))+(PI()*0.089))*3)+(F46*((2*(PI()*(0.032^2)/4))+(PI()*0.032))*1.3*1.5),1)</f>
        <v>20</v>
      </c>
      <c r="G48" s="179"/>
      <c r="H48" s="50">
        <f t="shared" si="8"/>
        <v>0</v>
      </c>
      <c r="I48" s="201" t="s">
        <v>193</v>
      </c>
      <c r="J48" s="204" t="s">
        <v>194</v>
      </c>
    </row>
    <row r="49" spans="2:10" s="70" customFormat="1" ht="36" x14ac:dyDescent="0.2">
      <c r="B49" s="60">
        <v>38</v>
      </c>
      <c r="C49" s="121">
        <v>789321120</v>
      </c>
      <c r="D49" s="122" t="s">
        <v>44</v>
      </c>
      <c r="E49" s="106" t="s">
        <v>29</v>
      </c>
      <c r="F49" s="178">
        <f>CEILING((F44*((2*(PI()*(0.089^2)/4))+(PI()*0.089))*3)*2,1)</f>
        <v>34</v>
      </c>
      <c r="G49" s="54"/>
      <c r="H49" s="50">
        <f t="shared" si="8"/>
        <v>0</v>
      </c>
      <c r="I49" s="201" t="s">
        <v>195</v>
      </c>
      <c r="J49" s="204" t="s">
        <v>196</v>
      </c>
    </row>
    <row r="50" spans="2:10" s="70" customFormat="1" ht="60" x14ac:dyDescent="0.2">
      <c r="B50" s="60">
        <v>39</v>
      </c>
      <c r="C50" s="121">
        <v>155214521</v>
      </c>
      <c r="D50" s="122" t="s">
        <v>60</v>
      </c>
      <c r="E50" s="106" t="s">
        <v>29</v>
      </c>
      <c r="F50" s="178">
        <f>CEILING((12+22)*2,1)</f>
        <v>68</v>
      </c>
      <c r="G50" s="54"/>
      <c r="H50" s="50">
        <f t="shared" si="8"/>
        <v>0</v>
      </c>
      <c r="I50" s="201" t="s">
        <v>197</v>
      </c>
      <c r="J50" s="200" t="s">
        <v>198</v>
      </c>
    </row>
    <row r="51" spans="2:10" s="70" customFormat="1" ht="26.25" x14ac:dyDescent="0.2">
      <c r="B51" s="60">
        <v>40</v>
      </c>
      <c r="C51" s="121">
        <v>31319110</v>
      </c>
      <c r="D51" s="122" t="s">
        <v>97</v>
      </c>
      <c r="E51" s="106" t="s">
        <v>29</v>
      </c>
      <c r="F51" s="178">
        <f>CEILING(F50*1.2,1)</f>
        <v>82</v>
      </c>
      <c r="G51" s="50"/>
      <c r="H51" s="50">
        <f t="shared" si="8"/>
        <v>0</v>
      </c>
      <c r="I51" s="205" t="s">
        <v>199</v>
      </c>
      <c r="J51" s="200" t="s">
        <v>200</v>
      </c>
    </row>
    <row r="52" spans="2:10" s="70" customFormat="1" ht="48" x14ac:dyDescent="0.2">
      <c r="B52" s="60">
        <v>41</v>
      </c>
      <c r="C52" s="121">
        <v>155214525</v>
      </c>
      <c r="D52" s="122" t="s">
        <v>98</v>
      </c>
      <c r="E52" s="121" t="s">
        <v>12</v>
      </c>
      <c r="F52" s="178">
        <f>CEILING((12+22)*5,1)</f>
        <v>170</v>
      </c>
      <c r="G52" s="54"/>
      <c r="H52" s="50">
        <f t="shared" ref="H52:H53" si="9">F52*G52</f>
        <v>0</v>
      </c>
      <c r="I52" s="201" t="s">
        <v>201</v>
      </c>
      <c r="J52" s="198" t="s">
        <v>202</v>
      </c>
    </row>
    <row r="53" spans="2:10" s="70" customFormat="1" ht="24.75" thickBot="1" x14ac:dyDescent="0.25">
      <c r="B53" s="60">
        <v>42</v>
      </c>
      <c r="C53" s="129">
        <v>31452107</v>
      </c>
      <c r="D53" s="99" t="s">
        <v>47</v>
      </c>
      <c r="E53" s="121" t="s">
        <v>12</v>
      </c>
      <c r="F53" s="178">
        <f>CEILING(F52*1.2,1)</f>
        <v>204</v>
      </c>
      <c r="G53" s="50"/>
      <c r="H53" s="50">
        <f t="shared" si="9"/>
        <v>0</v>
      </c>
      <c r="I53" s="201" t="s">
        <v>203</v>
      </c>
      <c r="J53" s="200" t="s">
        <v>139</v>
      </c>
    </row>
    <row r="54" spans="2:10" s="70" customFormat="1" ht="13.5" thickBot="1" x14ac:dyDescent="0.25">
      <c r="B54" s="87"/>
      <c r="C54" s="81"/>
      <c r="D54" s="85" t="s">
        <v>100</v>
      </c>
      <c r="E54" s="81"/>
      <c r="F54" s="81"/>
      <c r="G54" s="88"/>
      <c r="H54" s="86">
        <f>SUM(H55:H71)</f>
        <v>0</v>
      </c>
      <c r="I54" s="225"/>
      <c r="J54" s="226"/>
    </row>
    <row r="55" spans="2:10" s="70" customFormat="1" ht="24" x14ac:dyDescent="0.2">
      <c r="B55" s="60">
        <v>43</v>
      </c>
      <c r="C55" s="104">
        <v>224211116</v>
      </c>
      <c r="D55" s="180" t="s">
        <v>101</v>
      </c>
      <c r="E55" s="181" t="s">
        <v>12</v>
      </c>
      <c r="F55" s="185">
        <f>F62*4+(F63*4)+(F64*2)</f>
        <v>114</v>
      </c>
      <c r="G55" s="54"/>
      <c r="H55" s="50">
        <f t="shared" ref="H55:H69" si="10">F55*G55</f>
        <v>0</v>
      </c>
      <c r="I55" s="211" t="s">
        <v>204</v>
      </c>
      <c r="J55" s="202" t="s">
        <v>205</v>
      </c>
    </row>
    <row r="56" spans="2:10" s="70" customFormat="1" ht="24" x14ac:dyDescent="0.2">
      <c r="B56" s="60">
        <v>44</v>
      </c>
      <c r="C56" s="104">
        <v>224311116</v>
      </c>
      <c r="D56" s="180" t="s">
        <v>102</v>
      </c>
      <c r="E56" s="181" t="s">
        <v>12</v>
      </c>
      <c r="F56" s="185">
        <f>(4+5)*5+(4+4)*6</f>
        <v>93</v>
      </c>
      <c r="G56" s="54"/>
      <c r="H56" s="50">
        <f t="shared" si="10"/>
        <v>0</v>
      </c>
      <c r="I56" s="201" t="s">
        <v>206</v>
      </c>
      <c r="J56" s="198" t="s">
        <v>207</v>
      </c>
    </row>
    <row r="57" spans="2:10" s="70" customFormat="1" ht="60" x14ac:dyDescent="0.2">
      <c r="B57" s="60">
        <v>45</v>
      </c>
      <c r="C57" s="106">
        <v>155211311</v>
      </c>
      <c r="D57" s="99" t="s">
        <v>72</v>
      </c>
      <c r="E57" s="106" t="s">
        <v>49</v>
      </c>
      <c r="F57" s="184">
        <f>(3.7*0.8)+(5.3*1)+(1.2*0.8)+(1.6*1)</f>
        <v>10.819999999999999</v>
      </c>
      <c r="G57" s="107"/>
      <c r="H57" s="108">
        <f t="shared" si="10"/>
        <v>0</v>
      </c>
      <c r="I57" s="201" t="s">
        <v>208</v>
      </c>
      <c r="J57" s="198" t="s">
        <v>209</v>
      </c>
    </row>
    <row r="58" spans="2:10" s="70" customFormat="1" ht="36" x14ac:dyDescent="0.2">
      <c r="B58" s="60">
        <v>46</v>
      </c>
      <c r="C58" s="116">
        <v>131213102</v>
      </c>
      <c r="D58" s="117" t="s">
        <v>117</v>
      </c>
      <c r="E58" s="132" t="s">
        <v>49</v>
      </c>
      <c r="F58" s="185">
        <f>CEILING((0.5*0.5*0.8)*(3+4),0.1)</f>
        <v>1.4000000000000001</v>
      </c>
      <c r="G58" s="54"/>
      <c r="H58" s="50">
        <f t="shared" si="10"/>
        <v>0</v>
      </c>
      <c r="I58" s="201" t="s">
        <v>210</v>
      </c>
      <c r="J58" s="198" t="s">
        <v>211</v>
      </c>
    </row>
    <row r="59" spans="2:10" s="70" customFormat="1" ht="26.25" x14ac:dyDescent="0.2">
      <c r="B59" s="60">
        <v>47</v>
      </c>
      <c r="C59" s="104">
        <v>275354111</v>
      </c>
      <c r="D59" s="105" t="s">
        <v>103</v>
      </c>
      <c r="E59" s="106" t="s">
        <v>29</v>
      </c>
      <c r="F59" s="185">
        <f>CEILING((0.5*0.8*4)*(3+4),1)</f>
        <v>12</v>
      </c>
      <c r="G59" s="54"/>
      <c r="H59" s="50">
        <f t="shared" si="10"/>
        <v>0</v>
      </c>
      <c r="I59" s="201" t="s">
        <v>212</v>
      </c>
      <c r="J59" s="198" t="s">
        <v>213</v>
      </c>
    </row>
    <row r="60" spans="2:10" s="70" customFormat="1" ht="14.25" x14ac:dyDescent="0.2">
      <c r="B60" s="60">
        <v>48</v>
      </c>
      <c r="C60" s="104">
        <v>275354211</v>
      </c>
      <c r="D60" s="105" t="s">
        <v>104</v>
      </c>
      <c r="E60" s="106" t="s">
        <v>29</v>
      </c>
      <c r="F60" s="185">
        <f>F59</f>
        <v>12</v>
      </c>
      <c r="G60" s="54"/>
      <c r="H60" s="50">
        <f t="shared" si="10"/>
        <v>0</v>
      </c>
      <c r="I60" s="201" t="s">
        <v>214</v>
      </c>
      <c r="J60" s="198" t="s">
        <v>215</v>
      </c>
    </row>
    <row r="61" spans="2:10" s="70" customFormat="1" ht="24" x14ac:dyDescent="0.2">
      <c r="B61" s="60">
        <v>49</v>
      </c>
      <c r="C61" s="136">
        <v>275311127</v>
      </c>
      <c r="D61" s="79" t="s">
        <v>94</v>
      </c>
      <c r="E61" s="125" t="s">
        <v>49</v>
      </c>
      <c r="F61" s="184">
        <f>F58</f>
        <v>1.4000000000000001</v>
      </c>
      <c r="G61" s="54"/>
      <c r="H61" s="50">
        <f t="shared" si="10"/>
        <v>0</v>
      </c>
      <c r="I61" s="201" t="s">
        <v>216</v>
      </c>
      <c r="J61" s="198" t="s">
        <v>217</v>
      </c>
    </row>
    <row r="62" spans="2:10" s="70" customFormat="1" ht="24" x14ac:dyDescent="0.2">
      <c r="B62" s="60">
        <v>50</v>
      </c>
      <c r="C62" s="136">
        <v>155213123</v>
      </c>
      <c r="D62" s="79" t="s">
        <v>105</v>
      </c>
      <c r="E62" s="125" t="s">
        <v>11</v>
      </c>
      <c r="F62" s="184">
        <f>7*2</f>
        <v>14</v>
      </c>
      <c r="G62" s="54"/>
      <c r="H62" s="50">
        <f t="shared" si="10"/>
        <v>0</v>
      </c>
      <c r="I62" s="212" t="s">
        <v>218</v>
      </c>
      <c r="J62" s="210" t="s">
        <v>219</v>
      </c>
    </row>
    <row r="63" spans="2:10" s="70" customFormat="1" ht="36" x14ac:dyDescent="0.2">
      <c r="B63" s="60">
        <v>51</v>
      </c>
      <c r="C63" s="136">
        <v>155213323</v>
      </c>
      <c r="D63" s="79" t="s">
        <v>114</v>
      </c>
      <c r="E63" s="125" t="s">
        <v>11</v>
      </c>
      <c r="F63" s="184">
        <f>2</f>
        <v>2</v>
      </c>
      <c r="G63" s="54"/>
      <c r="H63" s="50">
        <f t="shared" si="10"/>
        <v>0</v>
      </c>
      <c r="I63" s="212" t="s">
        <v>220</v>
      </c>
      <c r="J63" s="210" t="s">
        <v>221</v>
      </c>
    </row>
    <row r="64" spans="2:10" s="70" customFormat="1" ht="36" x14ac:dyDescent="0.2">
      <c r="B64" s="60">
        <v>52</v>
      </c>
      <c r="C64" s="136">
        <v>155213313</v>
      </c>
      <c r="D64" s="79" t="s">
        <v>115</v>
      </c>
      <c r="E64" s="125" t="s">
        <v>11</v>
      </c>
      <c r="F64" s="184">
        <f>CEILING(((1+3+1)+(1+3+1)+(2+10+2)+(1+5+1))/1.5+4,1)</f>
        <v>25</v>
      </c>
      <c r="G64" s="54"/>
      <c r="H64" s="50">
        <f t="shared" si="10"/>
        <v>0</v>
      </c>
      <c r="I64" s="212" t="s">
        <v>222</v>
      </c>
      <c r="J64" s="195" t="s">
        <v>223</v>
      </c>
    </row>
    <row r="65" spans="2:10" s="70" customFormat="1" ht="36" x14ac:dyDescent="0.2">
      <c r="B65" s="60">
        <v>53</v>
      </c>
      <c r="C65" s="121">
        <v>789321120</v>
      </c>
      <c r="D65" s="122" t="s">
        <v>44</v>
      </c>
      <c r="E65" s="106" t="s">
        <v>29</v>
      </c>
      <c r="F65" s="184">
        <f>CEILING(((2*(PI()*(0.028^2)/4))+(PI()*0.028))*1.3*((F62+F63)*4+F64*2),1)</f>
        <v>14</v>
      </c>
      <c r="G65" s="54"/>
      <c r="H65" s="50">
        <f t="shared" si="10"/>
        <v>0</v>
      </c>
      <c r="I65" s="201" t="s">
        <v>224</v>
      </c>
      <c r="J65" s="204" t="s">
        <v>225</v>
      </c>
    </row>
    <row r="66" spans="2:10" s="70" customFormat="1" ht="24" x14ac:dyDescent="0.2">
      <c r="B66" s="60">
        <v>54</v>
      </c>
      <c r="C66" s="121">
        <v>281604111</v>
      </c>
      <c r="D66" s="122" t="s">
        <v>75</v>
      </c>
      <c r="E66" s="182" t="s">
        <v>13</v>
      </c>
      <c r="F66" s="185">
        <f>CEILING((F55+F56)*0.5,0.1)</f>
        <v>103.5</v>
      </c>
      <c r="G66" s="54"/>
      <c r="H66" s="50">
        <f t="shared" si="10"/>
        <v>0</v>
      </c>
      <c r="I66" s="205" t="s">
        <v>226</v>
      </c>
      <c r="J66" s="200" t="s">
        <v>161</v>
      </c>
    </row>
    <row r="67" spans="2:10" s="70" customFormat="1" ht="36" x14ac:dyDescent="0.2">
      <c r="B67" s="60">
        <v>55</v>
      </c>
      <c r="C67" s="116">
        <v>155215121</v>
      </c>
      <c r="D67" s="117" t="s">
        <v>106</v>
      </c>
      <c r="E67" s="106" t="s">
        <v>29</v>
      </c>
      <c r="F67" s="185">
        <f>F68</f>
        <v>184</v>
      </c>
      <c r="G67" s="54"/>
      <c r="H67" s="50">
        <f t="shared" si="10"/>
        <v>0</v>
      </c>
      <c r="I67" s="201" t="s">
        <v>227</v>
      </c>
      <c r="J67" s="198" t="s">
        <v>228</v>
      </c>
    </row>
    <row r="68" spans="2:10" s="70" customFormat="1" ht="72" x14ac:dyDescent="0.2">
      <c r="B68" s="60">
        <v>56</v>
      </c>
      <c r="C68" s="116" t="s">
        <v>107</v>
      </c>
      <c r="D68" s="117" t="s">
        <v>108</v>
      </c>
      <c r="E68" s="106" t="s">
        <v>29</v>
      </c>
      <c r="F68" s="185">
        <f>(16+30)*4</f>
        <v>184</v>
      </c>
      <c r="G68" s="54"/>
      <c r="H68" s="50">
        <f t="shared" si="10"/>
        <v>0</v>
      </c>
      <c r="I68" s="201" t="s">
        <v>229</v>
      </c>
      <c r="J68" s="198" t="s">
        <v>230</v>
      </c>
    </row>
    <row r="69" spans="2:10" s="70" customFormat="1" ht="36" x14ac:dyDescent="0.2">
      <c r="B69" s="60">
        <v>57</v>
      </c>
      <c r="C69" s="106" t="s">
        <v>109</v>
      </c>
      <c r="D69" s="99" t="s">
        <v>110</v>
      </c>
      <c r="E69" s="106" t="s">
        <v>29</v>
      </c>
      <c r="F69" s="184">
        <f>CEILING(((3*1+3*1)+(10*2+5*1))*1.2,1)</f>
        <v>38</v>
      </c>
      <c r="G69" s="54"/>
      <c r="H69" s="50">
        <f t="shared" si="10"/>
        <v>0</v>
      </c>
      <c r="I69" s="203" t="s">
        <v>231</v>
      </c>
      <c r="J69" s="204" t="s">
        <v>232</v>
      </c>
    </row>
    <row r="70" spans="2:10" s="70" customFormat="1" ht="24" x14ac:dyDescent="0.2">
      <c r="B70" s="60">
        <v>58</v>
      </c>
      <c r="C70" s="106">
        <v>155214212</v>
      </c>
      <c r="D70" s="55" t="s">
        <v>111</v>
      </c>
      <c r="E70" s="106" t="s">
        <v>12</v>
      </c>
      <c r="F70" s="184">
        <f>CEILING(((3+1+3+1)+(10+2+5+1))*2*1.2,1)</f>
        <v>63</v>
      </c>
      <c r="G70" s="54"/>
      <c r="H70" s="50">
        <f t="shared" ref="H70:H71" si="11">F70*G70</f>
        <v>0</v>
      </c>
      <c r="I70" s="213" t="s">
        <v>233</v>
      </c>
      <c r="J70" s="200" t="s">
        <v>234</v>
      </c>
    </row>
    <row r="71" spans="2:10" s="70" customFormat="1" ht="24.75" thickBot="1" x14ac:dyDescent="0.25">
      <c r="B71" s="60">
        <v>59</v>
      </c>
      <c r="C71" s="106" t="s">
        <v>112</v>
      </c>
      <c r="D71" s="99" t="s">
        <v>113</v>
      </c>
      <c r="E71" s="106" t="s">
        <v>12</v>
      </c>
      <c r="F71" s="184">
        <f>CEILING(F70*1.2,1)</f>
        <v>76</v>
      </c>
      <c r="G71" s="54"/>
      <c r="H71" s="50">
        <f t="shared" si="11"/>
        <v>0</v>
      </c>
      <c r="I71" s="212" t="s">
        <v>235</v>
      </c>
      <c r="J71" s="200" t="s">
        <v>236</v>
      </c>
    </row>
    <row r="72" spans="2:10" s="70" customFormat="1" ht="13.5" thickBot="1" x14ac:dyDescent="0.25">
      <c r="B72" s="87"/>
      <c r="C72" s="81"/>
      <c r="D72" s="85" t="s">
        <v>76</v>
      </c>
      <c r="E72" s="81"/>
      <c r="F72" s="81"/>
      <c r="G72" s="88"/>
      <c r="H72" s="86">
        <f>SUM(H73:H74)</f>
        <v>0</v>
      </c>
      <c r="I72" s="225"/>
      <c r="J72" s="226"/>
    </row>
    <row r="73" spans="2:10" s="70" customFormat="1" ht="24" x14ac:dyDescent="0.2">
      <c r="B73" s="60">
        <v>60</v>
      </c>
      <c r="C73" s="139" t="s">
        <v>41</v>
      </c>
      <c r="D73" s="140" t="s">
        <v>77</v>
      </c>
      <c r="E73" s="141" t="s">
        <v>11</v>
      </c>
      <c r="F73" s="142">
        <f>3</f>
        <v>3</v>
      </c>
      <c r="G73" s="115"/>
      <c r="H73" s="108">
        <f t="shared" ref="H73:H74" si="12">F73*G73</f>
        <v>0</v>
      </c>
      <c r="I73" s="211" t="s">
        <v>237</v>
      </c>
      <c r="J73" s="214" t="s">
        <v>238</v>
      </c>
    </row>
    <row r="74" spans="2:10" s="70" customFormat="1" ht="12.75" thickBot="1" x14ac:dyDescent="0.25">
      <c r="B74" s="60">
        <v>61</v>
      </c>
      <c r="C74" s="104" t="s">
        <v>41</v>
      </c>
      <c r="D74" s="105" t="s">
        <v>87</v>
      </c>
      <c r="E74" s="132" t="s">
        <v>31</v>
      </c>
      <c r="F74" s="126">
        <f>1</f>
        <v>1</v>
      </c>
      <c r="G74" s="107"/>
      <c r="H74" s="108">
        <f t="shared" si="12"/>
        <v>0</v>
      </c>
      <c r="I74" s="215" t="s">
        <v>239</v>
      </c>
      <c r="J74" s="195" t="s">
        <v>240</v>
      </c>
    </row>
    <row r="75" spans="2:10" s="70" customFormat="1" ht="13.5" thickBot="1" x14ac:dyDescent="0.25">
      <c r="B75" s="87"/>
      <c r="C75" s="81"/>
      <c r="D75" s="85" t="s">
        <v>78</v>
      </c>
      <c r="E75" s="81"/>
      <c r="F75" s="81"/>
      <c r="G75" s="88"/>
      <c r="H75" s="86">
        <f>SUM(H76:H82)</f>
        <v>0</v>
      </c>
      <c r="I75" s="225"/>
      <c r="J75" s="226"/>
    </row>
    <row r="76" spans="2:10" s="70" customFormat="1" ht="141" x14ac:dyDescent="0.2">
      <c r="B76" s="48">
        <v>62</v>
      </c>
      <c r="C76" s="129">
        <v>998003111</v>
      </c>
      <c r="D76" s="99" t="s">
        <v>116</v>
      </c>
      <c r="E76" s="121" t="s">
        <v>80</v>
      </c>
      <c r="F76" s="183">
        <f>ROUND((F10*3*0.0036)+(F11*0.0005)+(((F26+F29)*3+F32*2+F46*1.5)*0.00385)+(((F62+F63)*4+F64*2)*0.00483)+(F13*0.00036+F14*0.00018)+(F51*0.00118)+(F36*0.00177)+(F69*0.00256)+(F38*0.00021+((F16+F39+F53)*0.00032)+F71*0.00128)+(F44*3*0.0195)+(F68*0.1)+((F43+F61)*2.3),2)</f>
        <v>39.049999999999997</v>
      </c>
      <c r="G76" s="115"/>
      <c r="H76" s="115">
        <f t="shared" ref="H76:H77" si="13">F76*G76</f>
        <v>0</v>
      </c>
      <c r="I76" s="211" t="s">
        <v>241</v>
      </c>
      <c r="J76" s="214" t="s">
        <v>242</v>
      </c>
    </row>
    <row r="77" spans="2:10" s="70" customFormat="1" ht="24" x14ac:dyDescent="0.2">
      <c r="B77" s="58">
        <v>63</v>
      </c>
      <c r="C77" s="188">
        <v>997221141</v>
      </c>
      <c r="D77" s="189" t="s">
        <v>120</v>
      </c>
      <c r="E77" s="190" t="s">
        <v>80</v>
      </c>
      <c r="F77" s="192">
        <f>ROUND(((F21+F22+F57)*2)+((F23+F42+F58)*1.9),2)</f>
        <v>294.64</v>
      </c>
      <c r="G77" s="191"/>
      <c r="H77" s="191">
        <f t="shared" si="13"/>
        <v>0</v>
      </c>
      <c r="I77" s="216" t="s">
        <v>243</v>
      </c>
      <c r="J77" s="198" t="s">
        <v>244</v>
      </c>
    </row>
    <row r="78" spans="2:10" s="70" customFormat="1" x14ac:dyDescent="0.2">
      <c r="B78" s="58">
        <v>64</v>
      </c>
      <c r="C78" s="116">
        <v>997002611</v>
      </c>
      <c r="D78" s="117" t="s">
        <v>79</v>
      </c>
      <c r="E78" s="118" t="s">
        <v>80</v>
      </c>
      <c r="F78" s="183">
        <f>F77</f>
        <v>294.64</v>
      </c>
      <c r="G78" s="120"/>
      <c r="H78" s="120">
        <f t="shared" ref="H78" si="14">F78*G78</f>
        <v>0</v>
      </c>
      <c r="I78" s="194" t="s">
        <v>245</v>
      </c>
      <c r="J78" s="195" t="s">
        <v>246</v>
      </c>
    </row>
    <row r="79" spans="2:10" s="70" customFormat="1" ht="24" x14ac:dyDescent="0.2">
      <c r="B79" s="58">
        <v>65</v>
      </c>
      <c r="C79" s="104">
        <v>997002511</v>
      </c>
      <c r="D79" s="105" t="s">
        <v>81</v>
      </c>
      <c r="E79" s="143" t="s">
        <v>80</v>
      </c>
      <c r="F79" s="144">
        <f>F78</f>
        <v>294.64</v>
      </c>
      <c r="G79" s="50"/>
      <c r="H79" s="50">
        <f t="shared" ref="H79:H81" si="15">F79*G79</f>
        <v>0</v>
      </c>
      <c r="I79" s="194" t="s">
        <v>247</v>
      </c>
      <c r="J79" s="198" t="s">
        <v>248</v>
      </c>
    </row>
    <row r="80" spans="2:10" s="70" customFormat="1" x14ac:dyDescent="0.2">
      <c r="B80" s="58">
        <v>66</v>
      </c>
      <c r="C80" s="104">
        <v>997002519</v>
      </c>
      <c r="D80" s="105" t="s">
        <v>82</v>
      </c>
      <c r="E80" s="106" t="s">
        <v>83</v>
      </c>
      <c r="F80" s="192">
        <f>ROUND(F79*5,2)</f>
        <v>1473.2</v>
      </c>
      <c r="G80" s="50"/>
      <c r="H80" s="50">
        <f t="shared" si="15"/>
        <v>0</v>
      </c>
      <c r="I80" s="194" t="s">
        <v>249</v>
      </c>
      <c r="J80" s="198" t="s">
        <v>250</v>
      </c>
    </row>
    <row r="81" spans="2:10" s="70" customFormat="1" ht="24" x14ac:dyDescent="0.2">
      <c r="B81" s="58">
        <v>67</v>
      </c>
      <c r="C81" s="106">
        <v>997013873</v>
      </c>
      <c r="D81" s="99" t="s">
        <v>84</v>
      </c>
      <c r="E81" s="106" t="s">
        <v>80</v>
      </c>
      <c r="F81" s="145">
        <f>F79</f>
        <v>294.64</v>
      </c>
      <c r="G81" s="73"/>
      <c r="H81" s="50">
        <f t="shared" si="15"/>
        <v>0</v>
      </c>
      <c r="I81" s="194" t="s">
        <v>251</v>
      </c>
      <c r="J81" s="198" t="s">
        <v>252</v>
      </c>
    </row>
    <row r="82" spans="2:10" s="70" customFormat="1" ht="24.75" thickBot="1" x14ac:dyDescent="0.25">
      <c r="B82" s="60">
        <v>68</v>
      </c>
      <c r="C82" s="146" t="s">
        <v>85</v>
      </c>
      <c r="D82" s="147" t="s">
        <v>86</v>
      </c>
      <c r="E82" s="146" t="s">
        <v>80</v>
      </c>
      <c r="F82" s="148">
        <f>ROUND((((PI()*(0.15^2))*6.5*0)+((PI()*(0.15^2))*0.5*0)+((F20*7.5)/750))*0.75,2)</f>
        <v>13.36</v>
      </c>
      <c r="G82" s="73"/>
      <c r="H82" s="50">
        <f t="shared" ref="H82" si="16">F82*G82</f>
        <v>0</v>
      </c>
      <c r="I82" s="217" t="s">
        <v>253</v>
      </c>
      <c r="J82" s="218" t="s">
        <v>254</v>
      </c>
    </row>
    <row r="83" spans="2:10" s="70" customFormat="1" ht="13.5" thickBot="1" x14ac:dyDescent="0.25">
      <c r="B83" s="87"/>
      <c r="C83" s="81"/>
      <c r="D83" s="85" t="s">
        <v>22</v>
      </c>
      <c r="E83" s="81"/>
      <c r="F83" s="81"/>
      <c r="G83" s="88"/>
      <c r="H83" s="86">
        <f>SUM(H84:H88)</f>
        <v>0</v>
      </c>
      <c r="I83" s="225"/>
      <c r="J83" s="226"/>
    </row>
    <row r="84" spans="2:10" s="70" customFormat="1" x14ac:dyDescent="0.2">
      <c r="B84" s="48">
        <v>69</v>
      </c>
      <c r="C84" s="110" t="s">
        <v>50</v>
      </c>
      <c r="D84" s="46" t="s">
        <v>30</v>
      </c>
      <c r="E84" s="47" t="s">
        <v>31</v>
      </c>
      <c r="F84" s="77">
        <f>1</f>
        <v>1</v>
      </c>
      <c r="G84" s="53"/>
      <c r="H84" s="102">
        <f t="shared" si="6"/>
        <v>0</v>
      </c>
      <c r="I84" s="219" t="s">
        <v>239</v>
      </c>
      <c r="J84" s="220" t="s">
        <v>255</v>
      </c>
    </row>
    <row r="85" spans="2:10" s="70" customFormat="1" x14ac:dyDescent="0.2">
      <c r="B85" s="58">
        <v>70</v>
      </c>
      <c r="C85" s="111" t="s">
        <v>51</v>
      </c>
      <c r="D85" s="52" t="s">
        <v>32</v>
      </c>
      <c r="E85" s="45" t="s">
        <v>31</v>
      </c>
      <c r="F85" s="76">
        <f>1</f>
        <v>1</v>
      </c>
      <c r="G85" s="51"/>
      <c r="H85" s="50">
        <f t="shared" si="6"/>
        <v>0</v>
      </c>
      <c r="I85" s="221" t="s">
        <v>239</v>
      </c>
      <c r="J85" s="206" t="s">
        <v>256</v>
      </c>
    </row>
    <row r="86" spans="2:10" s="70" customFormat="1" x14ac:dyDescent="0.2">
      <c r="B86" s="58">
        <v>71</v>
      </c>
      <c r="C86" s="111" t="s">
        <v>52</v>
      </c>
      <c r="D86" s="44" t="s">
        <v>34</v>
      </c>
      <c r="E86" s="45" t="s">
        <v>31</v>
      </c>
      <c r="F86" s="76">
        <f>1</f>
        <v>1</v>
      </c>
      <c r="G86" s="51"/>
      <c r="H86" s="50">
        <f t="shared" si="6"/>
        <v>0</v>
      </c>
      <c r="I86" s="199" t="s">
        <v>257</v>
      </c>
      <c r="J86" s="204" t="s">
        <v>258</v>
      </c>
    </row>
    <row r="87" spans="2:10" s="70" customFormat="1" ht="24" x14ac:dyDescent="0.2">
      <c r="B87" s="58">
        <v>72</v>
      </c>
      <c r="C87" s="112" t="s">
        <v>53</v>
      </c>
      <c r="D87" s="72" t="s">
        <v>35</v>
      </c>
      <c r="E87" s="71" t="s">
        <v>13</v>
      </c>
      <c r="F87" s="193">
        <f>9*5</f>
        <v>45</v>
      </c>
      <c r="G87" s="73"/>
      <c r="H87" s="50">
        <f t="shared" si="6"/>
        <v>0</v>
      </c>
      <c r="I87" s="199" t="s">
        <v>259</v>
      </c>
      <c r="J87" s="204" t="s">
        <v>260</v>
      </c>
    </row>
    <row r="88" spans="2:10" s="70" customFormat="1" ht="24.75" thickBot="1" x14ac:dyDescent="0.25">
      <c r="B88" s="95">
        <v>73</v>
      </c>
      <c r="C88" s="113" t="s">
        <v>54</v>
      </c>
      <c r="D88" s="56" t="s">
        <v>33</v>
      </c>
      <c r="E88" s="57" t="s">
        <v>29</v>
      </c>
      <c r="F88" s="78">
        <f>CEILING(9*10,1)</f>
        <v>90</v>
      </c>
      <c r="G88" s="103"/>
      <c r="H88" s="103">
        <f t="shared" si="6"/>
        <v>0</v>
      </c>
      <c r="I88" s="217" t="s">
        <v>261</v>
      </c>
      <c r="J88" s="222" t="s">
        <v>262</v>
      </c>
    </row>
  </sheetData>
  <protectedRanges>
    <protectedRange sqref="D29" name="Oblast1_4_1_1_1_2"/>
    <protectedRange sqref="C13:D13 C14" name="Oblast1_3_1_1_1"/>
    <protectedRange sqref="E23" name="Oblast1_3_3_1_3"/>
    <protectedRange sqref="D45" name="Oblast1_3_4_5_2_2_1_1"/>
    <protectedRange sqref="E58" name="Oblast1_3_3_1"/>
    <protectedRange sqref="D55:E56" name="Oblast1_3_3_1_2"/>
    <protectedRange sqref="D46" name="Oblast1_3_4_5_2_2_1_1_1"/>
  </protectedRanges>
  <sortState ref="H102:L125">
    <sortCondition ref="H101"/>
  </sortState>
  <mergeCells count="2">
    <mergeCell ref="D2:J2"/>
    <mergeCell ref="E3:J5"/>
  </mergeCells>
  <printOptions horizontalCentered="1"/>
  <pageMargins left="0.19685039370078741" right="0.19685039370078741" top="0.78740157480314965" bottom="0.59055118110236227" header="0" footer="0"/>
  <pageSetup paperSize="9" firstPageNumber="0" fitToHeight="3" orientation="landscape" horizontalDpi="300" verticalDpi="300" r:id="rId1"/>
  <headerFooter alignWithMargins="0">
    <oddFooter>&amp;C&amp;"Arial CE,Běžné"&amp;7  Strana &amp;P z &amp;N</oddFooter>
  </headerFooter>
  <ignoredErrors>
    <ignoredError sqref="H83 H18 H24 H30 H72 H40 H54" formula="1"/>
    <ignoredError sqref="C84:C88" numberStoredAsText="1"/>
    <ignoredError sqref="F48:F49 F53 F41:F42 F51 F43:F46 F50" unlockedFormula="1"/>
    <ignoredError sqref="F52" formula="1" unlockedFormula="1"/>
    <ignoredError sqref="H75" evalError="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Krycí list</vt:lpstr>
      <vt:lpstr>F Náklady stavby</vt:lpstr>
      <vt:lpstr>__xlnm.Print_Area_2</vt:lpstr>
      <vt:lpstr>'F Náklady stavby'!Názvy_tisku</vt:lpstr>
      <vt:lpstr>'F Náklady stavby'!Oblast_tisku</vt:lpstr>
      <vt:lpstr>'Krycí list'!Oblast_tisku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Ing. Ondřej Holý</cp:lastModifiedBy>
  <cp:lastPrinted>2021-07-12T14:58:53Z</cp:lastPrinted>
  <dcterms:created xsi:type="dcterms:W3CDTF">2010-05-13T13:15:26Z</dcterms:created>
  <dcterms:modified xsi:type="dcterms:W3CDTF">2024-12-09T11:03:05Z</dcterms:modified>
</cp:coreProperties>
</file>